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printerSettings/printerSettings7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rinterSettings/printerSettings8.bin" ContentType="application/vnd.openxmlformats-officedocument.spreadsheetml.printerSettings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rinterSettings/printerSettings9.bin" ContentType="application/vnd.openxmlformats-officedocument.spreadsheetml.printerSettings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filterPrivacy="1" codeName="DieseArbeitsmappe"/>
  <xr:revisionPtr revIDLastSave="2351" documentId="13_ncr:1_{439D81C8-33EA-4D7E-8D2F-825136674053}" xr6:coauthVersionLast="47" xr6:coauthVersionMax="47" xr10:uidLastSave="{9436A881-5C76-4191-8A86-03D6738972BA}"/>
  <workbookProtection workbookAlgorithmName="SHA-512" workbookHashValue="C3uJHAU8wXtAKfIRTFZiPBfJAC4h0UBF4A42Ia7WHCQ9YwrIuC6tpqC8Ljx1jhQ4ZDIe4+ot4JPG6spfwDA72Q==" workbookSaltValue="EnnePt/zXwfedol3kp+hcQ==" workbookSpinCount="100000" lockStructure="1"/>
  <bookViews>
    <workbookView xWindow="22932" yWindow="-108" windowWidth="30936" windowHeight="16776" firstSheet="1" activeTab="1" xr2:uid="{00000000-000D-0000-FFFF-FFFF00000000}"/>
  </bookViews>
  <sheets>
    <sheet name="Messdaten" sheetId="1" state="hidden" r:id="rId1"/>
    <sheet name="Calculation Tool" sheetId="15" r:id="rId2"/>
    <sheet name="Katalogdaten M3G045" sheetId="2" state="hidden" r:id="rId3"/>
    <sheet name="Limits and Glycol" sheetId="14" state="hidden" r:id="rId4"/>
    <sheet name="Massenstromrechnung" sheetId="11" state="hidden" r:id="rId5"/>
    <sheet name="Legende" sheetId="12" state="hidden" r:id="rId6"/>
    <sheet name="M3G055" sheetId="6" state="hidden" r:id="rId7"/>
    <sheet name="Tabelle1" sheetId="7" state="hidden" r:id="rId8"/>
    <sheet name="Konstanten" sheetId="3" state="hidden" r:id="rId9"/>
    <sheet name="Terzbänder" sheetId="4" state="hidden" r:id="rId10"/>
    <sheet name="RGP-Funktion" sheetId="9" state="hidden" r:id="rId11"/>
    <sheet name="VGL BG2212 M3G045" sheetId="8" state="hidden" r:id="rId12"/>
    <sheet name="Iteration" sheetId="10" state="hidden" r:id="rId13"/>
    <sheet name="Drehzahlen M3G055" sheetId="5" state="hidden" r:id="rId14"/>
  </sheets>
  <definedNames>
    <definedName name="_xlnm._FilterDatabase" localSheetId="0" hidden="1">Messdaten!$A$76:$S$98</definedName>
    <definedName name="_xlnm.Print_Area" localSheetId="1">'Calculation Tool'!$A$1:$AO$46</definedName>
    <definedName name="solver_adj" localSheetId="0" hidden="1">Messdaten!$Q$137:$U$137,Messdaten!$U$136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0" localSheetId="0" hidden="1">Messdaten!$U$2</definedName>
    <definedName name="solver_lhs1" localSheetId="0" hidden="1">Messdaten!$Q$137</definedName>
    <definedName name="solver_lhs10" localSheetId="0" hidden="1">Messdaten!$U$136</definedName>
    <definedName name="solver_lhs11" localSheetId="0" hidden="1">Messdaten!$U$137</definedName>
    <definedName name="solver_lhs12" localSheetId="0" hidden="1">Messdaten!$U$137</definedName>
    <definedName name="solver_lhs2" localSheetId="0" hidden="1">Messdaten!$Q$137</definedName>
    <definedName name="solver_lhs3" localSheetId="0" hidden="1">Messdaten!$R$137</definedName>
    <definedName name="solver_lhs4" localSheetId="0" hidden="1">Messdaten!$R$137</definedName>
    <definedName name="solver_lhs5" localSheetId="0" hidden="1">Messdaten!$S$137</definedName>
    <definedName name="solver_lhs6" localSheetId="0" hidden="1">Messdaten!$S$137</definedName>
    <definedName name="solver_lhs7" localSheetId="0" hidden="1">Messdaten!$T$137</definedName>
    <definedName name="solver_lhs8" localSheetId="0" hidden="1">Messdaten!$T$137</definedName>
    <definedName name="solver_lhs9" localSheetId="0" hidden="1">Messdaten!$U$136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1</definedName>
    <definedName name="solver_neg" localSheetId="0" hidden="1">1</definedName>
    <definedName name="solver_nod" localSheetId="0" hidden="1">2147483647</definedName>
    <definedName name="solver_num" localSheetId="0" hidden="1">12</definedName>
    <definedName name="solver_nwt" localSheetId="0" hidden="1">1</definedName>
    <definedName name="solver_opt" localSheetId="0" hidden="1">Messdaten!$S$138</definedName>
    <definedName name="solver_pre" localSheetId="0" hidden="1">0.000001</definedName>
    <definedName name="solver_rbv" localSheetId="0" hidden="1">1</definedName>
    <definedName name="solver_rel0" localSheetId="0" hidden="1">3</definedName>
    <definedName name="solver_rel1" localSheetId="0" hidden="1">1</definedName>
    <definedName name="solver_rel10" localSheetId="0" hidden="1">3</definedName>
    <definedName name="solver_rel11" localSheetId="0" hidden="1">1</definedName>
    <definedName name="solver_rel12" localSheetId="0" hidden="1">3</definedName>
    <definedName name="solver_rel2" localSheetId="0" hidden="1">3</definedName>
    <definedName name="solver_rel3" localSheetId="0" hidden="1">1</definedName>
    <definedName name="solver_rel4" localSheetId="0" hidden="1">3</definedName>
    <definedName name="solver_rel5" localSheetId="0" hidden="1">1</definedName>
    <definedName name="solver_rel6" localSheetId="0" hidden="1">3</definedName>
    <definedName name="solver_rel7" localSheetId="0" hidden="1">1</definedName>
    <definedName name="solver_rel8" localSheetId="0" hidden="1">3</definedName>
    <definedName name="solver_rel9" localSheetId="0" hidden="1">1</definedName>
    <definedName name="solver_rhs0" localSheetId="0" hidden="1">-4</definedName>
    <definedName name="solver_rhs1" localSheetId="0" hidden="1">2</definedName>
    <definedName name="solver_rhs10" localSheetId="0" hidden="1">-4</definedName>
    <definedName name="solver_rhs11" localSheetId="0" hidden="1">8</definedName>
    <definedName name="solver_rhs12" localSheetId="0" hidden="1">-2</definedName>
    <definedName name="solver_rhs2" localSheetId="0" hidden="1">0</definedName>
    <definedName name="solver_rhs3" localSheetId="0" hidden="1">2</definedName>
    <definedName name="solver_rhs4" localSheetId="0" hidden="1">-2</definedName>
    <definedName name="solver_rhs5" localSheetId="0" hidden="1">2</definedName>
    <definedName name="solver_rhs6" localSheetId="0" hidden="1">0</definedName>
    <definedName name="solver_rhs7" localSheetId="0" hidden="1">2</definedName>
    <definedName name="solver_rhs8" localSheetId="0" hidden="1">-2</definedName>
    <definedName name="solver_rhs9" localSheetId="0" hidden="1">4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500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8" i="14" l="1"/>
  <c r="O1" i="14" l="1"/>
  <c r="N1" i="14"/>
  <c r="K1" i="14"/>
  <c r="J1" i="14"/>
  <c r="G1" i="14"/>
  <c r="F1" i="14"/>
  <c r="AF2" i="15" l="1"/>
  <c r="B20" i="15" l="1"/>
  <c r="G17" i="15" l="1"/>
  <c r="B22" i="2"/>
  <c r="B23" i="2"/>
  <c r="B24" i="2"/>
  <c r="B25" i="2"/>
  <c r="B21" i="2"/>
  <c r="B17" i="2"/>
  <c r="B18" i="2"/>
  <c r="B19" i="2"/>
  <c r="B20" i="2"/>
  <c r="B16" i="2"/>
  <c r="BZ16" i="2"/>
  <c r="BZ17" i="2"/>
  <c r="BZ18" i="2"/>
  <c r="BZ19" i="2"/>
  <c r="BZ20" i="2"/>
  <c r="BY20" i="2"/>
  <c r="BY19" i="2"/>
  <c r="BY18" i="2"/>
  <c r="BY17" i="2"/>
  <c r="BY16" i="2"/>
  <c r="X16" i="15"/>
  <c r="F17" i="2"/>
  <c r="Y3" i="2" l="1"/>
  <c r="AN46" i="15"/>
  <c r="W4" i="2" l="1"/>
  <c r="BP5" i="2" s="1"/>
  <c r="K4" i="2"/>
  <c r="I7" i="15"/>
  <c r="AA4" i="15"/>
  <c r="AA3" i="15"/>
  <c r="AA2" i="15"/>
  <c r="J4" i="15"/>
  <c r="J3" i="15"/>
  <c r="J2" i="15"/>
  <c r="Q15" i="15"/>
  <c r="R15" i="15"/>
  <c r="S15" i="15"/>
  <c r="T15" i="15"/>
  <c r="X17" i="15"/>
  <c r="B16" i="14" l="1"/>
  <c r="B17" i="14"/>
  <c r="B18" i="14"/>
  <c r="B19" i="14"/>
  <c r="B20" i="14"/>
  <c r="B21" i="14"/>
  <c r="B22" i="14"/>
  <c r="B23" i="14"/>
  <c r="B24" i="14"/>
  <c r="B25" i="14"/>
  <c r="B26" i="14"/>
  <c r="B27" i="14"/>
  <c r="B28" i="14"/>
  <c r="B15" i="14"/>
  <c r="D22" i="14"/>
  <c r="D16" i="14"/>
  <c r="D18" i="14"/>
  <c r="B31" i="14" l="1"/>
  <c r="X36" i="15"/>
  <c r="X37" i="15"/>
  <c r="X38" i="15"/>
  <c r="X39" i="15"/>
  <c r="X40" i="15"/>
  <c r="X41" i="15"/>
  <c r="X42" i="15"/>
  <c r="X43" i="15"/>
  <c r="X44" i="15"/>
  <c r="X45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31" i="15"/>
  <c r="X32" i="15"/>
  <c r="X33" i="15"/>
  <c r="X34" i="15"/>
  <c r="X35" i="15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16" i="2"/>
  <c r="G16" i="2" s="1"/>
  <c r="G16" i="15"/>
  <c r="D36" i="15" l="1"/>
  <c r="W36" i="15"/>
  <c r="W41" i="15"/>
  <c r="D41" i="15"/>
  <c r="W31" i="15"/>
  <c r="W26" i="15"/>
  <c r="W21" i="15"/>
  <c r="W16" i="15"/>
  <c r="D31" i="15"/>
  <c r="D26" i="15"/>
  <c r="D21" i="15"/>
  <c r="D16" i="15"/>
  <c r="AK15" i="2"/>
  <c r="P15" i="15" s="1"/>
  <c r="AL15" i="15"/>
  <c r="AD15" i="15"/>
  <c r="AD3" i="15"/>
  <c r="AN15" i="15"/>
  <c r="AK15" i="15"/>
  <c r="AJ15" i="15"/>
  <c r="AI15" i="15"/>
  <c r="AH15" i="15"/>
  <c r="AG15" i="15"/>
  <c r="AF15" i="15"/>
  <c r="AC15" i="15"/>
  <c r="AB15" i="15"/>
  <c r="AA15" i="15"/>
  <c r="Z15" i="15"/>
  <c r="Y15" i="15"/>
  <c r="W15" i="15"/>
  <c r="O15" i="15"/>
  <c r="N15" i="15"/>
  <c r="M15" i="15"/>
  <c r="L15" i="15"/>
  <c r="K15" i="15"/>
  <c r="J15" i="15"/>
  <c r="I15" i="15"/>
  <c r="H15" i="15"/>
  <c r="D15" i="15"/>
  <c r="AD2" i="15"/>
  <c r="M3" i="14" l="1"/>
  <c r="I3" i="14"/>
  <c r="M2" i="14"/>
  <c r="M8" i="14" s="1"/>
  <c r="I7" i="14"/>
  <c r="M7" i="14"/>
  <c r="I6" i="14"/>
  <c r="I4" i="14"/>
  <c r="M6" i="14"/>
  <c r="I5" i="14"/>
  <c r="I2" i="14"/>
  <c r="M5" i="14"/>
  <c r="M4" i="14"/>
  <c r="W3" i="2"/>
  <c r="W2" i="2"/>
  <c r="K3" i="2"/>
  <c r="K2" i="2"/>
  <c r="E7" i="14"/>
  <c r="E5" i="14"/>
  <c r="E4" i="14"/>
  <c r="E6" i="14"/>
  <c r="E2" i="14"/>
  <c r="E3" i="14"/>
  <c r="W5" i="2" l="1"/>
  <c r="BQ5" i="2" s="1"/>
  <c r="AA2" i="2"/>
  <c r="M2" i="2"/>
  <c r="K15" i="2" s="1"/>
  <c r="AY45" i="15"/>
  <c r="T45" i="15"/>
  <c r="G45" i="15"/>
  <c r="AY44" i="15"/>
  <c r="T44" i="15"/>
  <c r="G44" i="15"/>
  <c r="AY43" i="15"/>
  <c r="G43" i="15"/>
  <c r="AY42" i="15"/>
  <c r="G42" i="15"/>
  <c r="AY41" i="15"/>
  <c r="AU41" i="15"/>
  <c r="AW41" i="15" s="1"/>
  <c r="T41" i="15"/>
  <c r="G41" i="15"/>
  <c r="AY40" i="15"/>
  <c r="G40" i="15"/>
  <c r="AY39" i="15"/>
  <c r="G39" i="15"/>
  <c r="AY38" i="15"/>
  <c r="T38" i="15"/>
  <c r="G38" i="15"/>
  <c r="AY37" i="15"/>
  <c r="G37" i="15"/>
  <c r="AY36" i="15"/>
  <c r="AU36" i="15"/>
  <c r="AW36" i="15" s="1"/>
  <c r="T36" i="15"/>
  <c r="G36" i="15"/>
  <c r="AY35" i="15"/>
  <c r="G35" i="15"/>
  <c r="AY34" i="15"/>
  <c r="G34" i="15"/>
  <c r="AY33" i="15"/>
  <c r="G33" i="15"/>
  <c r="AY32" i="15"/>
  <c r="G32" i="15"/>
  <c r="AY31" i="15"/>
  <c r="AU31" i="15"/>
  <c r="AW31" i="15" s="1"/>
  <c r="G31" i="15"/>
  <c r="AY30" i="15"/>
  <c r="G30" i="15"/>
  <c r="AY29" i="15"/>
  <c r="G29" i="15"/>
  <c r="AY28" i="15"/>
  <c r="G28" i="15"/>
  <c r="AY27" i="15"/>
  <c r="G27" i="15"/>
  <c r="AY26" i="15"/>
  <c r="AU26" i="15"/>
  <c r="G26" i="15"/>
  <c r="AY25" i="15"/>
  <c r="G25" i="15"/>
  <c r="B25" i="15"/>
  <c r="AY24" i="15"/>
  <c r="G24" i="15"/>
  <c r="B24" i="15"/>
  <c r="AY23" i="15"/>
  <c r="G23" i="15"/>
  <c r="B23" i="15"/>
  <c r="AY22" i="15"/>
  <c r="G22" i="15"/>
  <c r="B22" i="15"/>
  <c r="AY21" i="15"/>
  <c r="G21" i="15"/>
  <c r="B21" i="15"/>
  <c r="AY20" i="15"/>
  <c r="AW20" i="15"/>
  <c r="G20" i="15"/>
  <c r="AY19" i="15"/>
  <c r="G19" i="15"/>
  <c r="B19" i="15"/>
  <c r="AY18" i="15"/>
  <c r="G18" i="15"/>
  <c r="B18" i="15"/>
  <c r="AY17" i="15"/>
  <c r="B17" i="15"/>
  <c r="AY16" i="15"/>
  <c r="AW16" i="15"/>
  <c r="AR16" i="15" a="1"/>
  <c r="AR16" i="15" s="1"/>
  <c r="B16" i="15"/>
  <c r="AY11" i="15"/>
  <c r="Z9" i="15"/>
  <c r="Y10" i="15" s="1"/>
  <c r="Y8" i="15"/>
  <c r="Z8" i="15" s="1"/>
  <c r="H8" i="15"/>
  <c r="I8" i="15" s="1"/>
  <c r="L5" i="15" s="1"/>
  <c r="Z7" i="15"/>
  <c r="BO5" i="15"/>
  <c r="O15" i="2" l="1"/>
  <c r="R15" i="2"/>
  <c r="AI15" i="2"/>
  <c r="T15" i="2"/>
  <c r="J4" i="2"/>
  <c r="I15" i="2"/>
  <c r="AG15" i="2"/>
  <c r="AD15" i="2"/>
  <c r="W15" i="2"/>
  <c r="V2" i="2"/>
  <c r="N15" i="2"/>
  <c r="B33" i="15"/>
  <c r="BO17" i="15"/>
  <c r="BP5" i="15"/>
  <c r="BE36" i="15" a="1"/>
  <c r="BF36" i="15" s="1"/>
  <c r="BF37" i="15" s="1"/>
  <c r="BF38" i="15" s="1"/>
  <c r="BF39" i="15" s="1"/>
  <c r="BF40" i="15" s="1"/>
  <c r="T39" i="15"/>
  <c r="BH36" i="15" a="1"/>
  <c r="BJ36" i="15" s="1"/>
  <c r="BJ37" i="15" s="1"/>
  <c r="BJ38" i="15" s="1"/>
  <c r="BJ39" i="15" s="1"/>
  <c r="BJ40" i="15" s="1"/>
  <c r="T42" i="15"/>
  <c r="BE26" i="15" a="1"/>
  <c r="BE26" i="15" s="1"/>
  <c r="BE27" i="15" s="1"/>
  <c r="BE28" i="15" s="1"/>
  <c r="BE29" i="15" s="1"/>
  <c r="BE30" i="15" s="1"/>
  <c r="BE21" i="15" a="1"/>
  <c r="BE21" i="15" s="1"/>
  <c r="BE22" i="15" s="1"/>
  <c r="BE23" i="15" s="1"/>
  <c r="BE24" i="15" s="1"/>
  <c r="BE25" i="15" s="1"/>
  <c r="T40" i="15"/>
  <c r="T43" i="15"/>
  <c r="T37" i="15"/>
  <c r="BK26" i="15" a="1"/>
  <c r="BK21" i="15" a="1"/>
  <c r="BK21" i="15" s="1"/>
  <c r="BK22" i="15" s="1"/>
  <c r="BK23" i="15" s="1"/>
  <c r="BK24" i="15" s="1"/>
  <c r="BK25" i="15" s="1"/>
  <c r="BK36" i="15" a="1"/>
  <c r="BL36" i="15" s="1"/>
  <c r="BL37" i="15" s="1"/>
  <c r="BL38" i="15" s="1"/>
  <c r="BL39" i="15" s="1"/>
  <c r="BL40" i="15" s="1"/>
  <c r="AW26" i="15"/>
  <c r="AW14" i="15" s="1"/>
  <c r="BH26" i="15" a="1"/>
  <c r="BJ26" i="15" s="1"/>
  <c r="BJ27" i="15" s="1"/>
  <c r="BJ28" i="15" s="1"/>
  <c r="BJ29" i="15" s="1"/>
  <c r="BJ30" i="15" s="1"/>
  <c r="B26" i="15"/>
  <c r="B30" i="15"/>
  <c r="B27" i="15"/>
  <c r="B34" i="15"/>
  <c r="BH41" i="15" a="1"/>
  <c r="BJ41" i="15" s="1"/>
  <c r="BJ42" i="15" s="1"/>
  <c r="BJ43" i="15" s="1"/>
  <c r="BJ44" i="15" s="1"/>
  <c r="BJ45" i="15" s="1"/>
  <c r="BE41" i="15" a="1"/>
  <c r="BE41" i="15" s="1"/>
  <c r="BE42" i="15" s="1"/>
  <c r="BE43" i="15" s="1"/>
  <c r="BE44" i="15" s="1"/>
  <c r="BE45" i="15" s="1"/>
  <c r="BK41" i="15" a="1"/>
  <c r="BL41" i="15" s="1"/>
  <c r="BL42" i="15" s="1"/>
  <c r="BL43" i="15" s="1"/>
  <c r="BL44" i="15" s="1"/>
  <c r="BL45" i="15" s="1"/>
  <c r="BO36" i="15"/>
  <c r="BO24" i="15"/>
  <c r="BO19" i="15"/>
  <c r="V3" i="2"/>
  <c r="H15" i="2"/>
  <c r="AE15" i="2"/>
  <c r="J15" i="2"/>
  <c r="V4" i="2"/>
  <c r="L15" i="2"/>
  <c r="Y15" i="2"/>
  <c r="D15" i="2"/>
  <c r="M15" i="2"/>
  <c r="X15" i="2"/>
  <c r="V15" i="2"/>
  <c r="AB15" i="2"/>
  <c r="AF15" i="2"/>
  <c r="U15" i="2"/>
  <c r="J2" i="2"/>
  <c r="J3" i="2"/>
  <c r="AA15" i="2"/>
  <c r="AC15" i="2"/>
  <c r="BH16" i="15" a="1"/>
  <c r="BK16" i="15" a="1"/>
  <c r="BE16" i="15" a="1"/>
  <c r="BO30" i="15"/>
  <c r="BO29" i="15"/>
  <c r="BO45" i="15"/>
  <c r="BO44" i="15"/>
  <c r="BO43" i="15"/>
  <c r="BO42" i="15"/>
  <c r="BO41" i="15"/>
  <c r="BO35" i="15"/>
  <c r="BO34" i="15"/>
  <c r="BO33" i="15"/>
  <c r="BO32" i="15"/>
  <c r="BO31" i="15"/>
  <c r="BO25" i="15"/>
  <c r="BO40" i="15"/>
  <c r="BO28" i="15"/>
  <c r="BO27" i="15"/>
  <c r="BO26" i="15"/>
  <c r="BO39" i="15"/>
  <c r="BO38" i="15"/>
  <c r="BO20" i="15"/>
  <c r="BO37" i="15"/>
  <c r="BO23" i="15"/>
  <c r="BO22" i="15"/>
  <c r="BO21" i="15"/>
  <c r="AA9" i="15"/>
  <c r="AS16" i="15"/>
  <c r="BO18" i="15"/>
  <c r="BK31" i="15" a="1"/>
  <c r="BE31" i="15" a="1"/>
  <c r="BH21" i="15" a="1"/>
  <c r="BH31" i="15" a="1"/>
  <c r="B28" i="15"/>
  <c r="B29" i="15"/>
  <c r="B31" i="15"/>
  <c r="B36" i="15"/>
  <c r="B41" i="15"/>
  <c r="B40" i="15"/>
  <c r="B39" i="15"/>
  <c r="B38" i="15"/>
  <c r="B37" i="15"/>
  <c r="B45" i="15"/>
  <c r="B44" i="15"/>
  <c r="B43" i="15"/>
  <c r="B42" i="15"/>
  <c r="BI41" i="15"/>
  <c r="BI42" i="15" s="1"/>
  <c r="BI43" i="15" s="1"/>
  <c r="BI44" i="15" s="1"/>
  <c r="BI45" i="15" s="1"/>
  <c r="BH41" i="15"/>
  <c r="BH42" i="15" s="1"/>
  <c r="BH43" i="15" s="1"/>
  <c r="BH44" i="15" s="1"/>
  <c r="BH45" i="15" s="1"/>
  <c r="B35" i="15"/>
  <c r="B32" i="15"/>
  <c r="BG36" i="15" l="1"/>
  <c r="BG37" i="15" s="1"/>
  <c r="BG38" i="15" s="1"/>
  <c r="BG39" i="15" s="1"/>
  <c r="BG40" i="15" s="1"/>
  <c r="BE36" i="15"/>
  <c r="BE37" i="15" s="1"/>
  <c r="BE38" i="15" s="1"/>
  <c r="BE39" i="15" s="1"/>
  <c r="BE40" i="15" s="1"/>
  <c r="BH26" i="15"/>
  <c r="BH27" i="15" s="1"/>
  <c r="BH28" i="15" s="1"/>
  <c r="BH29" i="15" s="1"/>
  <c r="BH30" i="15" s="1"/>
  <c r="BI36" i="15"/>
  <c r="BI37" i="15" s="1"/>
  <c r="BI38" i="15" s="1"/>
  <c r="BI39" i="15" s="1"/>
  <c r="BI40" i="15" s="1"/>
  <c r="BI26" i="15"/>
  <c r="BI27" i="15" s="1"/>
  <c r="BI28" i="15" s="1"/>
  <c r="BI29" i="15" s="1"/>
  <c r="BI30" i="15" s="1"/>
  <c r="BF26" i="15"/>
  <c r="BF27" i="15" s="1"/>
  <c r="BF28" i="15" s="1"/>
  <c r="BF29" i="15" s="1"/>
  <c r="BF30" i="15" s="1"/>
  <c r="BH36" i="15"/>
  <c r="BH37" i="15" s="1"/>
  <c r="BH38" i="15" s="1"/>
  <c r="BH39" i="15" s="1"/>
  <c r="BH40" i="15" s="1"/>
  <c r="BG26" i="15"/>
  <c r="BG27" i="15" s="1"/>
  <c r="BG28" i="15" s="1"/>
  <c r="BG29" i="15" s="1"/>
  <c r="BG30" i="15" s="1"/>
  <c r="BF41" i="15"/>
  <c r="BF42" i="15" s="1"/>
  <c r="BF43" i="15" s="1"/>
  <c r="BF44" i="15" s="1"/>
  <c r="BF45" i="15" s="1"/>
  <c r="BM21" i="15"/>
  <c r="BM22" i="15" s="1"/>
  <c r="BM23" i="15" s="1"/>
  <c r="BM24" i="15" s="1"/>
  <c r="BM25" i="15" s="1"/>
  <c r="BG21" i="15"/>
  <c r="BG22" i="15" s="1"/>
  <c r="BG23" i="15" s="1"/>
  <c r="BG24" i="15" s="1"/>
  <c r="BG25" i="15" s="1"/>
  <c r="BG41" i="15"/>
  <c r="BG42" i="15" s="1"/>
  <c r="BG43" i="15" s="1"/>
  <c r="BG44" i="15" s="1"/>
  <c r="BG45" i="15" s="1"/>
  <c r="BL21" i="15"/>
  <c r="BL22" i="15" s="1"/>
  <c r="BL23" i="15" s="1"/>
  <c r="BL24" i="15" s="1"/>
  <c r="BL25" i="15" s="1"/>
  <c r="BK36" i="15"/>
  <c r="BK37" i="15" s="1"/>
  <c r="BK38" i="15" s="1"/>
  <c r="BK39" i="15" s="1"/>
  <c r="BK40" i="15" s="1"/>
  <c r="BF21" i="15"/>
  <c r="BF22" i="15" s="1"/>
  <c r="BF23" i="15" s="1"/>
  <c r="BF24" i="15" s="1"/>
  <c r="BF25" i="15" s="1"/>
  <c r="BM26" i="15"/>
  <c r="BM27" i="15" s="1"/>
  <c r="BM28" i="15" s="1"/>
  <c r="BM29" i="15" s="1"/>
  <c r="BM30" i="15" s="1"/>
  <c r="BL26" i="15"/>
  <c r="BL27" i="15" s="1"/>
  <c r="BL28" i="15" s="1"/>
  <c r="BL29" i="15" s="1"/>
  <c r="BL30" i="15" s="1"/>
  <c r="BK26" i="15"/>
  <c r="BK27" i="15" s="1"/>
  <c r="BK28" i="15" s="1"/>
  <c r="BK29" i="15" s="1"/>
  <c r="BK30" i="15" s="1"/>
  <c r="BM36" i="15"/>
  <c r="BM37" i="15" s="1"/>
  <c r="BM38" i="15" s="1"/>
  <c r="BM39" i="15" s="1"/>
  <c r="BM40" i="15" s="1"/>
  <c r="BK41" i="15"/>
  <c r="BK42" i="15" s="1"/>
  <c r="BK43" i="15" s="1"/>
  <c r="BK44" i="15" s="1"/>
  <c r="BK45" i="15" s="1"/>
  <c r="BM41" i="15"/>
  <c r="BM42" i="15" s="1"/>
  <c r="BM43" i="15" s="1"/>
  <c r="BM44" i="15" s="1"/>
  <c r="BM45" i="15" s="1"/>
  <c r="BJ31" i="15"/>
  <c r="BJ32" i="15" s="1"/>
  <c r="BJ33" i="15" s="1"/>
  <c r="BJ34" i="15" s="1"/>
  <c r="BJ35" i="15" s="1"/>
  <c r="BI31" i="15"/>
  <c r="BI32" i="15" s="1"/>
  <c r="BI33" i="15" s="1"/>
  <c r="BI34" i="15" s="1"/>
  <c r="BI35" i="15" s="1"/>
  <c r="BH31" i="15"/>
  <c r="BH32" i="15" s="1"/>
  <c r="BH33" i="15" s="1"/>
  <c r="BH34" i="15" s="1"/>
  <c r="BH35" i="15" s="1"/>
  <c r="BF16" i="15"/>
  <c r="BF17" i="15" s="1"/>
  <c r="BF18" i="15" s="1"/>
  <c r="BF19" i="15" s="1"/>
  <c r="BF20" i="15" s="1"/>
  <c r="BE16" i="15"/>
  <c r="BE17" i="15" s="1"/>
  <c r="BE18" i="15" s="1"/>
  <c r="BE19" i="15" s="1"/>
  <c r="BE20" i="15" s="1"/>
  <c r="BG16" i="15"/>
  <c r="BG17" i="15" s="1"/>
  <c r="BG18" i="15" s="1"/>
  <c r="BG19" i="15" s="1"/>
  <c r="BG20" i="15" s="1"/>
  <c r="BJ16" i="15"/>
  <c r="BJ17" i="15" s="1"/>
  <c r="BJ18" i="15" s="1"/>
  <c r="BJ19" i="15" s="1"/>
  <c r="BJ20" i="15" s="1"/>
  <c r="BI16" i="15"/>
  <c r="BI17" i="15" s="1"/>
  <c r="BI18" i="15" s="1"/>
  <c r="BI19" i="15" s="1"/>
  <c r="BI20" i="15" s="1"/>
  <c r="BH16" i="15"/>
  <c r="BH17" i="15" s="1"/>
  <c r="BH18" i="15" s="1"/>
  <c r="BH19" i="15" s="1"/>
  <c r="BH20" i="15" s="1"/>
  <c r="BJ21" i="15"/>
  <c r="BJ22" i="15" s="1"/>
  <c r="BJ23" i="15" s="1"/>
  <c r="BJ24" i="15" s="1"/>
  <c r="BJ25" i="15" s="1"/>
  <c r="BI21" i="15"/>
  <c r="BI22" i="15" s="1"/>
  <c r="BI23" i="15" s="1"/>
  <c r="BI24" i="15" s="1"/>
  <c r="BI25" i="15" s="1"/>
  <c r="BH21" i="15"/>
  <c r="BH22" i="15" s="1"/>
  <c r="BH23" i="15" s="1"/>
  <c r="BH24" i="15" s="1"/>
  <c r="BH25" i="15" s="1"/>
  <c r="BL16" i="15"/>
  <c r="BL17" i="15" s="1"/>
  <c r="BL18" i="15" s="1"/>
  <c r="BL19" i="15" s="1"/>
  <c r="BL20" i="15" s="1"/>
  <c r="BM16" i="15"/>
  <c r="BM17" i="15" s="1"/>
  <c r="BM18" i="15" s="1"/>
  <c r="BM19" i="15" s="1"/>
  <c r="BM20" i="15" s="1"/>
  <c r="BK16" i="15"/>
  <c r="BK17" i="15" s="1"/>
  <c r="BK18" i="15" s="1"/>
  <c r="BK19" i="15" s="1"/>
  <c r="BK20" i="15" s="1"/>
  <c r="BG31" i="15"/>
  <c r="BG32" i="15" s="1"/>
  <c r="BG33" i="15" s="1"/>
  <c r="BG34" i="15" s="1"/>
  <c r="BG35" i="15" s="1"/>
  <c r="BF31" i="15"/>
  <c r="BF32" i="15" s="1"/>
  <c r="BF33" i="15" s="1"/>
  <c r="BF34" i="15" s="1"/>
  <c r="BF35" i="15" s="1"/>
  <c r="BE31" i="15"/>
  <c r="BE32" i="15" s="1"/>
  <c r="BE33" i="15" s="1"/>
  <c r="BE34" i="15" s="1"/>
  <c r="BE35" i="15" s="1"/>
  <c r="BM31" i="15"/>
  <c r="BM32" i="15" s="1"/>
  <c r="BM33" i="15" s="1"/>
  <c r="BM34" i="15" s="1"/>
  <c r="BM35" i="15" s="1"/>
  <c r="BL31" i="15"/>
  <c r="BL32" i="15" s="1"/>
  <c r="BL33" i="15" s="1"/>
  <c r="BL34" i="15" s="1"/>
  <c r="BL35" i="15" s="1"/>
  <c r="BK31" i="15"/>
  <c r="BK32" i="15" s="1"/>
  <c r="BK33" i="15" s="1"/>
  <c r="BK34" i="15" s="1"/>
  <c r="BK35" i="15" s="1"/>
  <c r="AK42" i="2" l="1"/>
  <c r="AK43" i="2"/>
  <c r="AK44" i="2"/>
  <c r="AK45" i="2"/>
  <c r="AK41" i="2"/>
  <c r="AK37" i="2"/>
  <c r="AK38" i="2"/>
  <c r="AK39" i="2"/>
  <c r="AK40" i="2"/>
  <c r="AK36" i="2"/>
  <c r="AK32" i="2"/>
  <c r="P32" i="15" s="1"/>
  <c r="AK33" i="2"/>
  <c r="P33" i="15" s="1"/>
  <c r="AK34" i="2"/>
  <c r="P34" i="15" s="1"/>
  <c r="AK35" i="2"/>
  <c r="P35" i="15" s="1"/>
  <c r="AK31" i="2"/>
  <c r="P31" i="15" s="1"/>
  <c r="AK27" i="2"/>
  <c r="P27" i="15" s="1"/>
  <c r="AK28" i="2"/>
  <c r="P28" i="15" s="1"/>
  <c r="AK29" i="2"/>
  <c r="P29" i="15" s="1"/>
  <c r="AK30" i="2"/>
  <c r="P30" i="15" s="1"/>
  <c r="AK26" i="2"/>
  <c r="P26" i="15" s="1"/>
  <c r="AK22" i="2"/>
  <c r="P22" i="15" s="1"/>
  <c r="AK23" i="2"/>
  <c r="P23" i="15" s="1"/>
  <c r="AK24" i="2"/>
  <c r="P24" i="15" s="1"/>
  <c r="AK25" i="2"/>
  <c r="P25" i="15" s="1"/>
  <c r="AK21" i="2"/>
  <c r="P21" i="15" s="1"/>
  <c r="AK20" i="2"/>
  <c r="P20" i="15" s="1"/>
  <c r="AK16" i="2"/>
  <c r="AZ11" i="2"/>
  <c r="P16" i="15" l="1"/>
  <c r="BQ16" i="2"/>
  <c r="BP21" i="15"/>
  <c r="BP25" i="15"/>
  <c r="BP39" i="15"/>
  <c r="BP24" i="15"/>
  <c r="BP31" i="15"/>
  <c r="BP38" i="15"/>
  <c r="BP40" i="15"/>
  <c r="BP27" i="15"/>
  <c r="BP16" i="15"/>
  <c r="BP23" i="15"/>
  <c r="BP35" i="15"/>
  <c r="BP37" i="15"/>
  <c r="BP28" i="15"/>
  <c r="BP34" i="15"/>
  <c r="BP19" i="15"/>
  <c r="BP26" i="15"/>
  <c r="BP33" i="15"/>
  <c r="BP45" i="15"/>
  <c r="BP20" i="15"/>
  <c r="BP41" i="15"/>
  <c r="BP30" i="15"/>
  <c r="BP32" i="15"/>
  <c r="BP44" i="15"/>
  <c r="BP42" i="15"/>
  <c r="BP22" i="15"/>
  <c r="BP29" i="15"/>
  <c r="BP36" i="15"/>
  <c r="BP43" i="15"/>
  <c r="BP19" i="2"/>
  <c r="BP40" i="2" l="1"/>
  <c r="BP44" i="2"/>
  <c r="BP31" i="2"/>
  <c r="BP34" i="2"/>
  <c r="BP25" i="2"/>
  <c r="BP42" i="2"/>
  <c r="BP24" i="2"/>
  <c r="BP45" i="2"/>
  <c r="BP41" i="2"/>
  <c r="BP37" i="2"/>
  <c r="BP32" i="2"/>
  <c r="BP23" i="2"/>
  <c r="BP38" i="2"/>
  <c r="BP29" i="2"/>
  <c r="BP33" i="2"/>
  <c r="BP28" i="2"/>
  <c r="BP36" i="2"/>
  <c r="BP27" i="2"/>
  <c r="BP22" i="2"/>
  <c r="BP35" i="2"/>
  <c r="BP26" i="2"/>
  <c r="BP43" i="2"/>
  <c r="BP39" i="2"/>
  <c r="BP30" i="2"/>
  <c r="BP21" i="2"/>
  <c r="BP17" i="2"/>
  <c r="BP20" i="2"/>
  <c r="BP18" i="2"/>
  <c r="AO42" i="2"/>
  <c r="AO43" i="2"/>
  <c r="AO44" i="2"/>
  <c r="AO45" i="2"/>
  <c r="AO41" i="2"/>
  <c r="AO37" i="2"/>
  <c r="AO38" i="2"/>
  <c r="AO39" i="2"/>
  <c r="AO40" i="2"/>
  <c r="AO36" i="2"/>
  <c r="AO32" i="2"/>
  <c r="T32" i="15" s="1"/>
  <c r="AO33" i="2"/>
  <c r="T33" i="15" s="1"/>
  <c r="AO34" i="2"/>
  <c r="T34" i="15" s="1"/>
  <c r="AO35" i="2"/>
  <c r="T35" i="15" s="1"/>
  <c r="AO31" i="2"/>
  <c r="T31" i="15" s="1"/>
  <c r="AO27" i="2"/>
  <c r="T27" i="15" s="1"/>
  <c r="AO28" i="2"/>
  <c r="T28" i="15" s="1"/>
  <c r="AO29" i="2"/>
  <c r="T29" i="15" s="1"/>
  <c r="AO30" i="2"/>
  <c r="T30" i="15" s="1"/>
  <c r="AO26" i="2"/>
  <c r="T26" i="15" s="1"/>
  <c r="AO22" i="2"/>
  <c r="T22" i="15" s="1"/>
  <c r="AO23" i="2"/>
  <c r="T23" i="15" s="1"/>
  <c r="AO24" i="2"/>
  <c r="T24" i="15" s="1"/>
  <c r="AO25" i="2"/>
  <c r="T25" i="15" s="1"/>
  <c r="AO21" i="2"/>
  <c r="T21" i="15" s="1"/>
  <c r="AO17" i="2"/>
  <c r="T17" i="15" s="1"/>
  <c r="AO18" i="2"/>
  <c r="T18" i="15" s="1"/>
  <c r="AO19" i="2"/>
  <c r="T19" i="15" s="1"/>
  <c r="AO20" i="2"/>
  <c r="T20" i="15" s="1"/>
  <c r="AO16" i="2"/>
  <c r="T16" i="15" s="1"/>
  <c r="AN42" i="2"/>
  <c r="AN43" i="2"/>
  <c r="AN44" i="2"/>
  <c r="AN45" i="2"/>
  <c r="AN41" i="2"/>
  <c r="AN37" i="2"/>
  <c r="AN38" i="2"/>
  <c r="AN39" i="2"/>
  <c r="AN40" i="2"/>
  <c r="AN36" i="2"/>
  <c r="AN32" i="2"/>
  <c r="S32" i="15" s="1"/>
  <c r="AN33" i="2"/>
  <c r="S33" i="15" s="1"/>
  <c r="AN34" i="2"/>
  <c r="S34" i="15" s="1"/>
  <c r="AN35" i="2"/>
  <c r="S35" i="15" s="1"/>
  <c r="AN31" i="2"/>
  <c r="S31" i="15" s="1"/>
  <c r="AN27" i="2"/>
  <c r="S27" i="15" s="1"/>
  <c r="AN28" i="2"/>
  <c r="S28" i="15" s="1"/>
  <c r="AN29" i="2"/>
  <c r="S29" i="15" s="1"/>
  <c r="AN30" i="2"/>
  <c r="S30" i="15" s="1"/>
  <c r="AN26" i="2"/>
  <c r="S26" i="15" s="1"/>
  <c r="AN22" i="2"/>
  <c r="S22" i="15" s="1"/>
  <c r="AN23" i="2"/>
  <c r="S23" i="15" s="1"/>
  <c r="AN24" i="2"/>
  <c r="S24" i="15" s="1"/>
  <c r="AN25" i="2"/>
  <c r="S25" i="15" s="1"/>
  <c r="AN21" i="2"/>
  <c r="S21" i="15" s="1"/>
  <c r="AN17" i="2"/>
  <c r="S17" i="15" s="1"/>
  <c r="AN18" i="2"/>
  <c r="S18" i="15" s="1"/>
  <c r="AN19" i="2"/>
  <c r="S19" i="15" s="1"/>
  <c r="AN20" i="2"/>
  <c r="S20" i="15" s="1"/>
  <c r="AN16" i="2"/>
  <c r="S16" i="15" s="1"/>
  <c r="AM16" i="2"/>
  <c r="AM42" i="2"/>
  <c r="AL42" i="2" s="1"/>
  <c r="AM43" i="2"/>
  <c r="AL43" i="2" s="1"/>
  <c r="AM44" i="2"/>
  <c r="AL44" i="2" s="1"/>
  <c r="AM45" i="2"/>
  <c r="AL45" i="2" s="1"/>
  <c r="AM41" i="2"/>
  <c r="AL41" i="2" s="1"/>
  <c r="AM37" i="2"/>
  <c r="AL37" i="2" s="1"/>
  <c r="AM38" i="2"/>
  <c r="AL38" i="2" s="1"/>
  <c r="AM39" i="2"/>
  <c r="AL39" i="2" s="1"/>
  <c r="AM40" i="2"/>
  <c r="AL40" i="2" s="1"/>
  <c r="AM36" i="2"/>
  <c r="AL36" i="2" s="1"/>
  <c r="AM32" i="2"/>
  <c r="AM33" i="2"/>
  <c r="AM34" i="2"/>
  <c r="AM35" i="2"/>
  <c r="AM31" i="2"/>
  <c r="AM27" i="2"/>
  <c r="AM28" i="2"/>
  <c r="AM29" i="2"/>
  <c r="AM30" i="2"/>
  <c r="AM26" i="2"/>
  <c r="AM22" i="2"/>
  <c r="AM23" i="2"/>
  <c r="AM24" i="2"/>
  <c r="AM25" i="2"/>
  <c r="AM21" i="2"/>
  <c r="AM17" i="2"/>
  <c r="AM18" i="2"/>
  <c r="AM19" i="2"/>
  <c r="AM20" i="2"/>
  <c r="AZ17" i="2"/>
  <c r="AZ18" i="2"/>
  <c r="AZ19" i="2"/>
  <c r="AZ20" i="2"/>
  <c r="AZ21" i="2"/>
  <c r="AZ22" i="2"/>
  <c r="AZ23" i="2"/>
  <c r="AZ24" i="2"/>
  <c r="AZ25" i="2"/>
  <c r="AZ26" i="2"/>
  <c r="AZ27" i="2"/>
  <c r="AZ28" i="2"/>
  <c r="AZ29" i="2"/>
  <c r="AZ30" i="2"/>
  <c r="AZ31" i="2"/>
  <c r="AZ32" i="2"/>
  <c r="AZ33" i="2"/>
  <c r="AZ34" i="2"/>
  <c r="AZ35" i="2"/>
  <c r="AZ36" i="2"/>
  <c r="AZ37" i="2"/>
  <c r="AZ38" i="2"/>
  <c r="AZ39" i="2"/>
  <c r="AZ40" i="2"/>
  <c r="AZ41" i="2"/>
  <c r="AZ42" i="2"/>
  <c r="AZ43" i="2"/>
  <c r="AZ44" i="2"/>
  <c r="AZ45" i="2"/>
  <c r="AZ16" i="2"/>
  <c r="AX20" i="2"/>
  <c r="AX16" i="2"/>
  <c r="AV41" i="2"/>
  <c r="AX41" i="2" s="1"/>
  <c r="AV36" i="2"/>
  <c r="AX36" i="2" s="1"/>
  <c r="AV31" i="2"/>
  <c r="AX31" i="2" s="1"/>
  <c r="AV26" i="2"/>
  <c r="G17" i="2"/>
  <c r="G18" i="2"/>
  <c r="AK18" i="2" s="1"/>
  <c r="P18" i="15" s="1"/>
  <c r="G19" i="2"/>
  <c r="AK19" i="2" s="1"/>
  <c r="P19" i="15" s="1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AS16" i="2" a="1"/>
  <c r="AS16" i="2" s="1"/>
  <c r="B38" i="2" l="1"/>
  <c r="B31" i="2"/>
  <c r="B27" i="2"/>
  <c r="B39" i="2"/>
  <c r="B42" i="2"/>
  <c r="B40" i="2"/>
  <c r="B28" i="2"/>
  <c r="B43" i="2"/>
  <c r="B36" i="2"/>
  <c r="B29" i="2"/>
  <c r="B44" i="2"/>
  <c r="B32" i="2"/>
  <c r="B30" i="2"/>
  <c r="B45" i="2"/>
  <c r="B33" i="2"/>
  <c r="B26" i="2"/>
  <c r="B41" i="2"/>
  <c r="B34" i="2"/>
  <c r="B37" i="2"/>
  <c r="B35" i="2"/>
  <c r="AK17" i="2"/>
  <c r="P17" i="15" s="1"/>
  <c r="BQ19" i="2"/>
  <c r="AL19" i="2"/>
  <c r="Q19" i="15" s="1"/>
  <c r="R19" i="15"/>
  <c r="AL26" i="2"/>
  <c r="Q26" i="15" s="1"/>
  <c r="R26" i="15"/>
  <c r="AL33" i="2"/>
  <c r="Q33" i="15" s="1"/>
  <c r="R33" i="15"/>
  <c r="AL34" i="2"/>
  <c r="Q34" i="15" s="1"/>
  <c r="R34" i="15"/>
  <c r="AL18" i="2"/>
  <c r="Q18" i="15" s="1"/>
  <c r="R18" i="15"/>
  <c r="AL17" i="2"/>
  <c r="Q17" i="15" s="1"/>
  <c r="R17" i="15"/>
  <c r="AL29" i="2"/>
  <c r="Q29" i="15" s="1"/>
  <c r="R29" i="15"/>
  <c r="AL23" i="2"/>
  <c r="Q23" i="15" s="1"/>
  <c r="R23" i="15"/>
  <c r="AL20" i="2"/>
  <c r="Q20" i="15" s="1"/>
  <c r="R20" i="15"/>
  <c r="AL32" i="2"/>
  <c r="Q32" i="15" s="1"/>
  <c r="R32" i="15"/>
  <c r="AL21" i="2"/>
  <c r="Q21" i="15" s="1"/>
  <c r="R21" i="15"/>
  <c r="AL28" i="2"/>
  <c r="Q28" i="15" s="1"/>
  <c r="R28" i="15"/>
  <c r="AL22" i="2"/>
  <c r="Q22" i="15" s="1"/>
  <c r="R22" i="15"/>
  <c r="AL30" i="2"/>
  <c r="Q30" i="15" s="1"/>
  <c r="R30" i="15"/>
  <c r="AL25" i="2"/>
  <c r="Q25" i="15" s="1"/>
  <c r="R25" i="15"/>
  <c r="AL27" i="2"/>
  <c r="Q27" i="15" s="1"/>
  <c r="R27" i="15"/>
  <c r="AL16" i="2"/>
  <c r="Q16" i="15" s="1"/>
  <c r="R16" i="15"/>
  <c r="AL35" i="2"/>
  <c r="Q35" i="15" s="1"/>
  <c r="R35" i="15"/>
  <c r="AL24" i="2"/>
  <c r="Q24" i="15" s="1"/>
  <c r="R24" i="15"/>
  <c r="AL31" i="2"/>
  <c r="Q31" i="15" s="1"/>
  <c r="R31" i="15"/>
  <c r="BQ43" i="2"/>
  <c r="BQ29" i="2"/>
  <c r="BQ42" i="2"/>
  <c r="BQ26" i="2"/>
  <c r="BQ38" i="2"/>
  <c r="BQ25" i="2"/>
  <c r="BQ18" i="2"/>
  <c r="BQ35" i="2"/>
  <c r="BQ23" i="2"/>
  <c r="BQ34" i="2"/>
  <c r="BQ20" i="2"/>
  <c r="BQ22" i="2"/>
  <c r="BQ32" i="2"/>
  <c r="BQ31" i="2"/>
  <c r="BQ27" i="2"/>
  <c r="BQ37" i="2"/>
  <c r="BQ44" i="2"/>
  <c r="BQ21" i="2"/>
  <c r="BQ36" i="2"/>
  <c r="BQ41" i="2"/>
  <c r="BQ40" i="2"/>
  <c r="BQ30" i="2"/>
  <c r="BQ28" i="2"/>
  <c r="BQ45" i="2"/>
  <c r="BQ39" i="2"/>
  <c r="BQ33" i="2"/>
  <c r="BQ24" i="2"/>
  <c r="AX26" i="2"/>
  <c r="AX14" i="2" s="1"/>
  <c r="BL16" i="2" a="1"/>
  <c r="BM16" i="2" s="1"/>
  <c r="BM17" i="2" s="1"/>
  <c r="BM18" i="2" s="1"/>
  <c r="BM19" i="2" s="1"/>
  <c r="BM20" i="2" s="1"/>
  <c r="BI16" i="2" a="1"/>
  <c r="BJ16" i="2" s="1"/>
  <c r="BJ17" i="2" s="1"/>
  <c r="BJ18" i="2" s="1"/>
  <c r="BJ19" i="2" s="1"/>
  <c r="BJ20" i="2" s="1"/>
  <c r="BF16" i="2" a="1"/>
  <c r="BF16" i="2" s="1"/>
  <c r="BF17" i="2" s="1"/>
  <c r="BF18" i="2" s="1"/>
  <c r="BF19" i="2" s="1"/>
  <c r="BF20" i="2" s="1"/>
  <c r="BL41" i="2" a="1"/>
  <c r="BN41" i="2" s="1"/>
  <c r="BN42" i="2" s="1"/>
  <c r="BN43" i="2" s="1"/>
  <c r="BN44" i="2" s="1"/>
  <c r="BN45" i="2" s="1"/>
  <c r="BI41" i="2" a="1"/>
  <c r="BK41" i="2" s="1"/>
  <c r="BK42" i="2" s="1"/>
  <c r="BK43" i="2" s="1"/>
  <c r="BK44" i="2" s="1"/>
  <c r="BK45" i="2" s="1"/>
  <c r="BF41" i="2" a="1"/>
  <c r="BF41" i="2" s="1"/>
  <c r="BF42" i="2" s="1"/>
  <c r="BF43" i="2" s="1"/>
  <c r="BF44" i="2" s="1"/>
  <c r="BF45" i="2" s="1"/>
  <c r="BL36" i="2" a="1"/>
  <c r="BN36" i="2" s="1"/>
  <c r="BN37" i="2" s="1"/>
  <c r="BN38" i="2" s="1"/>
  <c r="BN39" i="2" s="1"/>
  <c r="BN40" i="2" s="1"/>
  <c r="BI36" i="2" a="1"/>
  <c r="BK36" i="2" s="1"/>
  <c r="BK37" i="2" s="1"/>
  <c r="BK38" i="2" s="1"/>
  <c r="BK39" i="2" s="1"/>
  <c r="BK40" i="2" s="1"/>
  <c r="BF36" i="2" a="1"/>
  <c r="BH36" i="2" s="1"/>
  <c r="BH37" i="2" s="1"/>
  <c r="BH38" i="2" s="1"/>
  <c r="BH39" i="2" s="1"/>
  <c r="BH40" i="2" s="1"/>
  <c r="BL31" i="2" a="1"/>
  <c r="BN31" i="2" s="1"/>
  <c r="BN32" i="2" s="1"/>
  <c r="BN33" i="2" s="1"/>
  <c r="BN34" i="2" s="1"/>
  <c r="BN35" i="2" s="1"/>
  <c r="BI31" i="2" a="1"/>
  <c r="BK31" i="2" s="1"/>
  <c r="BK32" i="2" s="1"/>
  <c r="BK33" i="2" s="1"/>
  <c r="BK34" i="2" s="1"/>
  <c r="BK35" i="2" s="1"/>
  <c r="BF31" i="2" a="1"/>
  <c r="BH31" i="2" s="1"/>
  <c r="BH32" i="2" s="1"/>
  <c r="BH33" i="2" s="1"/>
  <c r="BH34" i="2" s="1"/>
  <c r="BH35" i="2" s="1"/>
  <c r="BL26" i="2" a="1"/>
  <c r="BN26" i="2" s="1"/>
  <c r="BN27" i="2" s="1"/>
  <c r="BN28" i="2" s="1"/>
  <c r="BN29" i="2" s="1"/>
  <c r="BN30" i="2" s="1"/>
  <c r="BI26" i="2" a="1"/>
  <c r="BK26" i="2" s="1"/>
  <c r="BK27" i="2" s="1"/>
  <c r="BK28" i="2" s="1"/>
  <c r="BK29" i="2" s="1"/>
  <c r="BK30" i="2" s="1"/>
  <c r="BF26" i="2" a="1"/>
  <c r="BF26" i="2" s="1"/>
  <c r="BF27" i="2" s="1"/>
  <c r="BF28" i="2" s="1"/>
  <c r="BF29" i="2" s="1"/>
  <c r="BF30" i="2" s="1"/>
  <c r="BL21" i="2" a="1"/>
  <c r="BM21" i="2" s="1"/>
  <c r="BM22" i="2" s="1"/>
  <c r="BM23" i="2" s="1"/>
  <c r="BM24" i="2" s="1"/>
  <c r="BM25" i="2" s="1"/>
  <c r="BI21" i="2" a="1"/>
  <c r="BK21" i="2" s="1"/>
  <c r="BK22" i="2" s="1"/>
  <c r="BK23" i="2" s="1"/>
  <c r="BK24" i="2" s="1"/>
  <c r="BK25" i="2" s="1"/>
  <c r="BF21" i="2" a="1"/>
  <c r="BG21" i="2" s="1"/>
  <c r="BG22" i="2" s="1"/>
  <c r="BG23" i="2" s="1"/>
  <c r="BG24" i="2" s="1"/>
  <c r="BG25" i="2" s="1"/>
  <c r="AT16" i="2"/>
  <c r="J41" i="11"/>
  <c r="J40" i="11"/>
  <c r="J39" i="11"/>
  <c r="J38" i="11"/>
  <c r="J37" i="11"/>
  <c r="J36" i="11"/>
  <c r="J35" i="11"/>
  <c r="J34" i="11"/>
  <c r="J33" i="11"/>
  <c r="J32" i="11"/>
  <c r="J31" i="11"/>
  <c r="J30" i="11"/>
  <c r="J29" i="11"/>
  <c r="J28" i="11"/>
  <c r="J27" i="11"/>
  <c r="J26" i="11"/>
  <c r="J25" i="11"/>
  <c r="J24" i="11"/>
  <c r="J23" i="11"/>
  <c r="J22" i="11"/>
  <c r="J21" i="11"/>
  <c r="J20" i="11"/>
  <c r="J19" i="11"/>
  <c r="J18" i="11"/>
  <c r="J17" i="11"/>
  <c r="J16" i="11"/>
  <c r="J15" i="11"/>
  <c r="J14" i="11"/>
  <c r="J13" i="11"/>
  <c r="J12" i="11"/>
  <c r="BQ17" i="2" l="1"/>
  <c r="BP17" i="15"/>
  <c r="BP18" i="15"/>
  <c r="BN21" i="2"/>
  <c r="BN22" i="2" s="1"/>
  <c r="BN23" i="2" s="1"/>
  <c r="BN24" i="2" s="1"/>
  <c r="BN25" i="2" s="1"/>
  <c r="BL21" i="2"/>
  <c r="BL22" i="2" s="1"/>
  <c r="BL23" i="2" s="1"/>
  <c r="BL24" i="2" s="1"/>
  <c r="BL25" i="2" s="1"/>
  <c r="BI41" i="2"/>
  <c r="BI42" i="2" s="1"/>
  <c r="BI43" i="2" s="1"/>
  <c r="BI44" i="2" s="1"/>
  <c r="BI45" i="2" s="1"/>
  <c r="BM26" i="2"/>
  <c r="BM27" i="2" s="1"/>
  <c r="BM28" i="2" s="1"/>
  <c r="BM29" i="2" s="1"/>
  <c r="BM30" i="2" s="1"/>
  <c r="BM41" i="2"/>
  <c r="BM42" i="2" s="1"/>
  <c r="BM43" i="2" s="1"/>
  <c r="BM44" i="2" s="1"/>
  <c r="BM45" i="2" s="1"/>
  <c r="BF31" i="2"/>
  <c r="BF32" i="2" s="1"/>
  <c r="BF33" i="2" s="1"/>
  <c r="BF34" i="2" s="1"/>
  <c r="BF35" i="2" s="1"/>
  <c r="BL41" i="2"/>
  <c r="BL42" i="2" s="1"/>
  <c r="BL43" i="2" s="1"/>
  <c r="BL44" i="2" s="1"/>
  <c r="BL45" i="2" s="1"/>
  <c r="BG31" i="2"/>
  <c r="BG32" i="2" s="1"/>
  <c r="BG33" i="2" s="1"/>
  <c r="BG34" i="2" s="1"/>
  <c r="BG35" i="2" s="1"/>
  <c r="BG41" i="2"/>
  <c r="BG42" i="2" s="1"/>
  <c r="BG43" i="2" s="1"/>
  <c r="BG44" i="2" s="1"/>
  <c r="BG45" i="2" s="1"/>
  <c r="BM36" i="2"/>
  <c r="BM37" i="2" s="1"/>
  <c r="BM38" i="2" s="1"/>
  <c r="BM39" i="2" s="1"/>
  <c r="BM40" i="2" s="1"/>
  <c r="BH16" i="2"/>
  <c r="BH17" i="2" s="1"/>
  <c r="BH18" i="2" s="1"/>
  <c r="BH19" i="2" s="1"/>
  <c r="BH20" i="2" s="1"/>
  <c r="BH41" i="2"/>
  <c r="BH42" i="2" s="1"/>
  <c r="BH43" i="2" s="1"/>
  <c r="BH44" i="2" s="1"/>
  <c r="BH45" i="2" s="1"/>
  <c r="BL36" i="2"/>
  <c r="BL37" i="2" s="1"/>
  <c r="BL38" i="2" s="1"/>
  <c r="BL39" i="2" s="1"/>
  <c r="BL40" i="2" s="1"/>
  <c r="BH26" i="2"/>
  <c r="BH27" i="2" s="1"/>
  <c r="BH28" i="2" s="1"/>
  <c r="BH29" i="2" s="1"/>
  <c r="BH30" i="2" s="1"/>
  <c r="BG26" i="2"/>
  <c r="BG27" i="2" s="1"/>
  <c r="BG28" i="2" s="1"/>
  <c r="BG29" i="2" s="1"/>
  <c r="BG30" i="2" s="1"/>
  <c r="BJ26" i="2"/>
  <c r="BJ27" i="2" s="1"/>
  <c r="BJ28" i="2" s="1"/>
  <c r="BJ29" i="2" s="1"/>
  <c r="BJ30" i="2" s="1"/>
  <c r="BI31" i="2"/>
  <c r="BI32" i="2" s="1"/>
  <c r="BI33" i="2" s="1"/>
  <c r="BI34" i="2" s="1"/>
  <c r="BI35" i="2" s="1"/>
  <c r="BF36" i="2"/>
  <c r="BF37" i="2" s="1"/>
  <c r="BF38" i="2" s="1"/>
  <c r="BF39" i="2" s="1"/>
  <c r="BF40" i="2" s="1"/>
  <c r="BM31" i="2"/>
  <c r="BM32" i="2" s="1"/>
  <c r="BM33" i="2" s="1"/>
  <c r="BM34" i="2" s="1"/>
  <c r="BM35" i="2" s="1"/>
  <c r="BK16" i="2"/>
  <c r="BK17" i="2" s="1"/>
  <c r="BK18" i="2" s="1"/>
  <c r="BK19" i="2" s="1"/>
  <c r="BK20" i="2" s="1"/>
  <c r="BL26" i="2"/>
  <c r="BL27" i="2" s="1"/>
  <c r="BL28" i="2" s="1"/>
  <c r="BL29" i="2" s="1"/>
  <c r="BL30" i="2" s="1"/>
  <c r="BF21" i="2"/>
  <c r="BF22" i="2" s="1"/>
  <c r="BF23" i="2" s="1"/>
  <c r="BF24" i="2" s="1"/>
  <c r="BF25" i="2" s="1"/>
  <c r="BJ21" i="2"/>
  <c r="BJ22" i="2" s="1"/>
  <c r="BJ23" i="2" s="1"/>
  <c r="BJ24" i="2" s="1"/>
  <c r="BJ25" i="2" s="1"/>
  <c r="BL31" i="2"/>
  <c r="BL32" i="2" s="1"/>
  <c r="BL33" i="2" s="1"/>
  <c r="BL34" i="2" s="1"/>
  <c r="BL35" i="2" s="1"/>
  <c r="BH21" i="2"/>
  <c r="BH22" i="2" s="1"/>
  <c r="BH23" i="2" s="1"/>
  <c r="BH24" i="2" s="1"/>
  <c r="BH25" i="2" s="1"/>
  <c r="BI21" i="2"/>
  <c r="BI22" i="2" s="1"/>
  <c r="BI23" i="2" s="1"/>
  <c r="BI24" i="2" s="1"/>
  <c r="BI25" i="2" s="1"/>
  <c r="BJ31" i="2"/>
  <c r="BJ32" i="2" s="1"/>
  <c r="BJ33" i="2" s="1"/>
  <c r="BJ34" i="2" s="1"/>
  <c r="BJ35" i="2" s="1"/>
  <c r="BJ41" i="2"/>
  <c r="BJ42" i="2" s="1"/>
  <c r="BJ43" i="2" s="1"/>
  <c r="BJ44" i="2" s="1"/>
  <c r="BJ45" i="2" s="1"/>
  <c r="BI16" i="2"/>
  <c r="BI17" i="2" s="1"/>
  <c r="BI18" i="2" s="1"/>
  <c r="BI19" i="2" s="1"/>
  <c r="BI20" i="2" s="1"/>
  <c r="BN16" i="2"/>
  <c r="BN17" i="2" s="1"/>
  <c r="BN18" i="2" s="1"/>
  <c r="BN19" i="2" s="1"/>
  <c r="BN20" i="2" s="1"/>
  <c r="BJ36" i="2"/>
  <c r="BJ37" i="2" s="1"/>
  <c r="BJ38" i="2" s="1"/>
  <c r="BJ39" i="2" s="1"/>
  <c r="BJ40" i="2" s="1"/>
  <c r="BG16" i="2"/>
  <c r="BG17" i="2" s="1"/>
  <c r="BG18" i="2" s="1"/>
  <c r="BG19" i="2" s="1"/>
  <c r="BG20" i="2" s="1"/>
  <c r="BG36" i="2"/>
  <c r="BG37" i="2" s="1"/>
  <c r="BG38" i="2" s="1"/>
  <c r="BG39" i="2" s="1"/>
  <c r="BG40" i="2" s="1"/>
  <c r="BL16" i="2"/>
  <c r="BL17" i="2" s="1"/>
  <c r="BL18" i="2" s="1"/>
  <c r="BL19" i="2" s="1"/>
  <c r="BL20" i="2" s="1"/>
  <c r="BI26" i="2"/>
  <c r="BI27" i="2" s="1"/>
  <c r="BI28" i="2" s="1"/>
  <c r="BI29" i="2" s="1"/>
  <c r="BI30" i="2" s="1"/>
  <c r="BI36" i="2"/>
  <c r="BI37" i="2" s="1"/>
  <c r="BI38" i="2" s="1"/>
  <c r="BI39" i="2" s="1"/>
  <c r="BI40" i="2" s="1"/>
  <c r="K17" i="11"/>
  <c r="K27" i="11"/>
  <c r="AI37" i="11" l="1"/>
  <c r="AI32" i="11"/>
  <c r="AI27" i="11"/>
  <c r="AI22" i="11"/>
  <c r="AI17" i="11"/>
  <c r="AI12" i="11"/>
  <c r="Z37" i="11"/>
  <c r="Z32" i="11"/>
  <c r="Z27" i="11"/>
  <c r="Z22" i="11"/>
  <c r="Z17" i="11"/>
  <c r="Z12" i="11"/>
  <c r="Q37" i="11"/>
  <c r="Q32" i="11"/>
  <c r="Q27" i="11"/>
  <c r="Q22" i="11"/>
  <c r="Q17" i="11"/>
  <c r="Q12" i="11"/>
  <c r="K37" i="11"/>
  <c r="K32" i="11"/>
  <c r="K22" i="11"/>
  <c r="K12" i="11"/>
  <c r="Y6" i="11"/>
  <c r="P38" i="11"/>
  <c r="P39" i="11"/>
  <c r="P40" i="11"/>
  <c r="P41" i="11"/>
  <c r="P37" i="11"/>
  <c r="P33" i="11"/>
  <c r="P34" i="11"/>
  <c r="P35" i="11"/>
  <c r="P36" i="11"/>
  <c r="P32" i="11"/>
  <c r="P28" i="11"/>
  <c r="P29" i="11"/>
  <c r="P30" i="11"/>
  <c r="P31" i="11"/>
  <c r="P27" i="11"/>
  <c r="P23" i="11"/>
  <c r="P24" i="11"/>
  <c r="P25" i="11"/>
  <c r="P26" i="11"/>
  <c r="P22" i="11"/>
  <c r="P18" i="11"/>
  <c r="P19" i="11"/>
  <c r="P20" i="11"/>
  <c r="P21" i="11"/>
  <c r="P17" i="11"/>
  <c r="P13" i="11"/>
  <c r="P14" i="11"/>
  <c r="P15" i="11"/>
  <c r="P16" i="11"/>
  <c r="P12" i="11"/>
  <c r="AC31" i="10" l="1"/>
  <c r="AC30" i="10"/>
  <c r="AC29" i="10"/>
  <c r="AC28" i="10"/>
  <c r="AC27" i="10"/>
  <c r="AC26" i="10"/>
  <c r="AC25" i="10"/>
  <c r="AC24" i="10"/>
  <c r="AC23" i="10"/>
  <c r="AC22" i="10"/>
  <c r="AC21" i="10"/>
  <c r="AC20" i="10"/>
  <c r="AC19" i="10"/>
  <c r="AC18" i="10"/>
  <c r="AC17" i="10"/>
  <c r="AC16" i="10"/>
  <c r="AC15" i="10"/>
  <c r="AC14" i="10"/>
  <c r="AC13" i="10"/>
  <c r="AC12" i="10"/>
  <c r="AC11" i="10"/>
  <c r="AC10" i="10"/>
  <c r="AC9" i="10"/>
  <c r="AC8" i="10"/>
  <c r="AC7" i="10"/>
  <c r="AC6" i="10"/>
  <c r="AC5" i="10"/>
  <c r="AC4" i="10"/>
  <c r="AC3" i="10"/>
  <c r="AC2" i="10"/>
  <c r="P31" i="10"/>
  <c r="P30" i="10"/>
  <c r="P29" i="10"/>
  <c r="P28" i="10"/>
  <c r="P27" i="10"/>
  <c r="P26" i="10"/>
  <c r="P25" i="10"/>
  <c r="P24" i="10"/>
  <c r="P23" i="10"/>
  <c r="P22" i="10"/>
  <c r="P21" i="10"/>
  <c r="P20" i="10"/>
  <c r="P19" i="10"/>
  <c r="P18" i="10"/>
  <c r="P17" i="10"/>
  <c r="P16" i="10"/>
  <c r="P15" i="10"/>
  <c r="P14" i="10"/>
  <c r="P13" i="10"/>
  <c r="P12" i="10"/>
  <c r="P11" i="10"/>
  <c r="P10" i="10"/>
  <c r="P9" i="10"/>
  <c r="P8" i="10"/>
  <c r="P7" i="10"/>
  <c r="P6" i="10"/>
  <c r="P5" i="10"/>
  <c r="P4" i="10"/>
  <c r="P3" i="10"/>
  <c r="P2" i="10"/>
  <c r="Q2" i="10" s="1"/>
  <c r="C3" i="10"/>
  <c r="C4" i="10"/>
  <c r="C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2" i="10"/>
  <c r="U9" i="2" l="1"/>
  <c r="X5" i="2" l="1"/>
  <c r="T10" i="2"/>
  <c r="V9" i="2"/>
  <c r="BR31" i="10"/>
  <c r="AM31" i="10"/>
  <c r="A31" i="10"/>
  <c r="BR30" i="10"/>
  <c r="AM30" i="10"/>
  <c r="A30" i="10"/>
  <c r="BR29" i="10"/>
  <c r="AM29" i="10"/>
  <c r="A29" i="10"/>
  <c r="BR28" i="10"/>
  <c r="AM28" i="10"/>
  <c r="A28" i="10"/>
  <c r="BR27" i="10"/>
  <c r="AM27" i="10"/>
  <c r="D27" i="10"/>
  <c r="E27" i="10" s="1"/>
  <c r="A27" i="10"/>
  <c r="BR26" i="10"/>
  <c r="AM26" i="10"/>
  <c r="A26" i="10"/>
  <c r="BR25" i="10"/>
  <c r="AM25" i="10"/>
  <c r="D25" i="10"/>
  <c r="E25" i="10" s="1"/>
  <c r="A25" i="10"/>
  <c r="BR24" i="10"/>
  <c r="AM24" i="10"/>
  <c r="A24" i="10"/>
  <c r="BR23" i="10"/>
  <c r="AM23" i="10"/>
  <c r="A23" i="10"/>
  <c r="BR22" i="10"/>
  <c r="AM22" i="10"/>
  <c r="D22" i="10"/>
  <c r="E22" i="10" s="1"/>
  <c r="A22" i="10"/>
  <c r="BR21" i="10"/>
  <c r="AM21" i="10"/>
  <c r="A21" i="10"/>
  <c r="BR20" i="10"/>
  <c r="AM20" i="10"/>
  <c r="A20" i="10"/>
  <c r="BR19" i="10"/>
  <c r="AM19" i="10"/>
  <c r="A19" i="10"/>
  <c r="BR18" i="10"/>
  <c r="AM18" i="10"/>
  <c r="A18" i="10"/>
  <c r="BR17" i="10"/>
  <c r="AM17" i="10"/>
  <c r="D17" i="10"/>
  <c r="E17" i="10" s="1"/>
  <c r="F17" i="10" s="1"/>
  <c r="G17" i="10" s="1"/>
  <c r="A17" i="10"/>
  <c r="BR16" i="10"/>
  <c r="AM16" i="10"/>
  <c r="A16" i="10"/>
  <c r="BR15" i="10"/>
  <c r="AM15" i="10"/>
  <c r="A15" i="10"/>
  <c r="BR14" i="10"/>
  <c r="AM14" i="10"/>
  <c r="A14" i="10"/>
  <c r="BR13" i="10"/>
  <c r="AM13" i="10"/>
  <c r="A13" i="10"/>
  <c r="BR12" i="10"/>
  <c r="AM12" i="10"/>
  <c r="D12" i="10"/>
  <c r="E12" i="10" s="1"/>
  <c r="F12" i="10" s="1"/>
  <c r="A12" i="10"/>
  <c r="BR11" i="10"/>
  <c r="AM11" i="10"/>
  <c r="A11" i="10"/>
  <c r="BR10" i="10"/>
  <c r="AM10" i="10"/>
  <c r="A10" i="10"/>
  <c r="BR9" i="10"/>
  <c r="AM9" i="10"/>
  <c r="A9" i="10"/>
  <c r="BR8" i="10"/>
  <c r="AM8" i="10"/>
  <c r="A8" i="10"/>
  <c r="BR7" i="10"/>
  <c r="AM7" i="10"/>
  <c r="D7" i="10"/>
  <c r="E7" i="10" s="1"/>
  <c r="F7" i="10" s="1"/>
  <c r="A7" i="10"/>
  <c r="BR6" i="10"/>
  <c r="AM6" i="10"/>
  <c r="A6" i="10"/>
  <c r="BR5" i="10"/>
  <c r="AM5" i="10"/>
  <c r="A5" i="10"/>
  <c r="BR4" i="10"/>
  <c r="AM4" i="10"/>
  <c r="A4" i="10"/>
  <c r="BR3" i="10"/>
  <c r="AM3" i="10"/>
  <c r="A3" i="10"/>
  <c r="BR2" i="10"/>
  <c r="AM2" i="10"/>
  <c r="N31" i="10"/>
  <c r="AA31" i="10" s="1"/>
  <c r="N30" i="10"/>
  <c r="AA30" i="10" s="1"/>
  <c r="AK30" i="10" s="1"/>
  <c r="N29" i="10"/>
  <c r="AA29" i="10" s="1"/>
  <c r="N28" i="10"/>
  <c r="AA28" i="10" s="1"/>
  <c r="AK28" i="10" s="1"/>
  <c r="N27" i="10"/>
  <c r="AA27" i="10" s="1"/>
  <c r="AK27" i="10" s="1"/>
  <c r="N26" i="10"/>
  <c r="AA26" i="10" s="1"/>
  <c r="AK26" i="10" s="1"/>
  <c r="BP26" i="10" s="1"/>
  <c r="N25" i="10"/>
  <c r="AA25" i="10" s="1"/>
  <c r="AK25" i="10" s="1"/>
  <c r="N24" i="10"/>
  <c r="AA24" i="10" s="1"/>
  <c r="N23" i="10"/>
  <c r="AA23" i="10" s="1"/>
  <c r="AK23" i="10" s="1"/>
  <c r="N22" i="10"/>
  <c r="AA22" i="10" s="1"/>
  <c r="AK22" i="10" s="1"/>
  <c r="N21" i="10"/>
  <c r="AA21" i="10" s="1"/>
  <c r="AK21" i="10" s="1"/>
  <c r="N20" i="10"/>
  <c r="AA20" i="10" s="1"/>
  <c r="AK20" i="10" s="1"/>
  <c r="BP20" i="10" s="1"/>
  <c r="N19" i="10"/>
  <c r="AA19" i="10" s="1"/>
  <c r="N18" i="10"/>
  <c r="AA18" i="10" s="1"/>
  <c r="N17" i="10"/>
  <c r="AA17" i="10" s="1"/>
  <c r="AK17" i="10" s="1"/>
  <c r="N16" i="10"/>
  <c r="AA16" i="10" s="1"/>
  <c r="AK16" i="10" s="1"/>
  <c r="N15" i="10"/>
  <c r="AA15" i="10" s="1"/>
  <c r="N14" i="10"/>
  <c r="AA14" i="10" s="1"/>
  <c r="AK14" i="10" s="1"/>
  <c r="N13" i="10"/>
  <c r="AA13" i="10" s="1"/>
  <c r="AK13" i="10" s="1"/>
  <c r="BP13" i="10" s="1"/>
  <c r="N12" i="10"/>
  <c r="AA12" i="10" s="1"/>
  <c r="AK12" i="10" s="1"/>
  <c r="BP12" i="10" s="1"/>
  <c r="N11" i="10"/>
  <c r="AA11" i="10" s="1"/>
  <c r="N10" i="10"/>
  <c r="AA10" i="10" s="1"/>
  <c r="AK10" i="10" s="1"/>
  <c r="N9" i="10"/>
  <c r="AA9" i="10" s="1"/>
  <c r="AK9" i="10" s="1"/>
  <c r="N8" i="10"/>
  <c r="AA8" i="10" s="1"/>
  <c r="AK8" i="10" s="1"/>
  <c r="BP8" i="10" s="1"/>
  <c r="N7" i="10"/>
  <c r="AA7" i="10" s="1"/>
  <c r="N6" i="10"/>
  <c r="AA6" i="10" s="1"/>
  <c r="AK6" i="10" s="1"/>
  <c r="N5" i="10"/>
  <c r="AA5" i="10" s="1"/>
  <c r="AK5" i="10" s="1"/>
  <c r="N4" i="10"/>
  <c r="AA4" i="10" s="1"/>
  <c r="AK4" i="10" s="1"/>
  <c r="BP4" i="10" s="1"/>
  <c r="N3" i="10"/>
  <c r="AA3" i="10" s="1"/>
  <c r="D2" i="10"/>
  <c r="E2" i="10" s="1"/>
  <c r="A2" i="10"/>
  <c r="AB31" i="10"/>
  <c r="AL31" i="10" s="1"/>
  <c r="BQ31" i="10" s="1"/>
  <c r="AB30" i="10"/>
  <c r="AL30" i="10" s="1"/>
  <c r="BQ30" i="10" s="1"/>
  <c r="AB29" i="10"/>
  <c r="AL29" i="10" s="1"/>
  <c r="BQ29" i="10" s="1"/>
  <c r="AB28" i="10"/>
  <c r="AL28" i="10" s="1"/>
  <c r="BQ28" i="10" s="1"/>
  <c r="AB27" i="10"/>
  <c r="AL27" i="10" s="1"/>
  <c r="BQ27" i="10" s="1"/>
  <c r="AB26" i="10"/>
  <c r="AL26" i="10" s="1"/>
  <c r="BQ26" i="10" s="1"/>
  <c r="AB25" i="10"/>
  <c r="AL25" i="10" s="1"/>
  <c r="BQ25" i="10" s="1"/>
  <c r="AB24" i="10"/>
  <c r="AL24" i="10" s="1"/>
  <c r="BQ24" i="10" s="1"/>
  <c r="AB23" i="10"/>
  <c r="AL23" i="10" s="1"/>
  <c r="BQ23" i="10" s="1"/>
  <c r="AB22" i="10"/>
  <c r="AL22" i="10" s="1"/>
  <c r="BQ22" i="10" s="1"/>
  <c r="AB21" i="10"/>
  <c r="AL21" i="10" s="1"/>
  <c r="BQ21" i="10" s="1"/>
  <c r="AB20" i="10"/>
  <c r="AL20" i="10" s="1"/>
  <c r="BQ20" i="10" s="1"/>
  <c r="AB19" i="10"/>
  <c r="AL19" i="10" s="1"/>
  <c r="BQ19" i="10" s="1"/>
  <c r="AB18" i="10"/>
  <c r="AL18" i="10" s="1"/>
  <c r="BQ18" i="10" s="1"/>
  <c r="AB17" i="10"/>
  <c r="AL17" i="10" s="1"/>
  <c r="BQ17" i="10" s="1"/>
  <c r="AB16" i="10"/>
  <c r="AL16" i="10" s="1"/>
  <c r="BQ16" i="10" s="1"/>
  <c r="AB15" i="10"/>
  <c r="AL15" i="10" s="1"/>
  <c r="BQ15" i="10" s="1"/>
  <c r="AB14" i="10"/>
  <c r="AL14" i="10" s="1"/>
  <c r="BQ14" i="10" s="1"/>
  <c r="AB13" i="10"/>
  <c r="AL13" i="10" s="1"/>
  <c r="BQ13" i="10" s="1"/>
  <c r="AB12" i="10"/>
  <c r="AL12" i="10" s="1"/>
  <c r="BQ12" i="10" s="1"/>
  <c r="AB11" i="10"/>
  <c r="AL11" i="10" s="1"/>
  <c r="BQ11" i="10" s="1"/>
  <c r="AB10" i="10"/>
  <c r="AL10" i="10" s="1"/>
  <c r="BQ10" i="10" s="1"/>
  <c r="AB9" i="10"/>
  <c r="AL9" i="10" s="1"/>
  <c r="BQ9" i="10" s="1"/>
  <c r="AB8" i="10"/>
  <c r="AB7" i="10"/>
  <c r="AL7" i="10" s="1"/>
  <c r="BQ7" i="10" s="1"/>
  <c r="AB6" i="10"/>
  <c r="AL6" i="10" s="1"/>
  <c r="BQ6" i="10" s="1"/>
  <c r="AB5" i="10"/>
  <c r="AL5" i="10" s="1"/>
  <c r="BQ5" i="10" s="1"/>
  <c r="AB4" i="10"/>
  <c r="AL4" i="10" s="1"/>
  <c r="BQ4" i="10" s="1"/>
  <c r="AB3" i="10"/>
  <c r="AL3" i="10" s="1"/>
  <c r="BQ3" i="10" s="1"/>
  <c r="AB2" i="10"/>
  <c r="AL2" i="10" s="1"/>
  <c r="BQ2" i="10" s="1"/>
  <c r="D29" i="10"/>
  <c r="E29" i="10" s="1"/>
  <c r="D19" i="10"/>
  <c r="E19" i="10" s="1"/>
  <c r="D13" i="10"/>
  <c r="E13" i="10" s="1"/>
  <c r="F13" i="10" s="1"/>
  <c r="D9" i="10"/>
  <c r="E9" i="10" s="1"/>
  <c r="F9" i="10" s="1"/>
  <c r="G9" i="10" s="1"/>
  <c r="D28" i="10" l="1"/>
  <c r="E28" i="10" s="1"/>
  <c r="AD29" i="10"/>
  <c r="AE29" i="10" s="1"/>
  <c r="AF29" i="10" s="1"/>
  <c r="AG29" i="10" s="1"/>
  <c r="AH29" i="10" s="1"/>
  <c r="AI29" i="10" s="1"/>
  <c r="N39" i="11" s="1"/>
  <c r="O39" i="11" s="1"/>
  <c r="AD3" i="10"/>
  <c r="AE3" i="10" s="1"/>
  <c r="AF3" i="10" s="1"/>
  <c r="AG3" i="10" s="1"/>
  <c r="AH3" i="10" s="1"/>
  <c r="AI3" i="10" s="1"/>
  <c r="N13" i="11" s="1"/>
  <c r="O13" i="11" s="1"/>
  <c r="AD19" i="10"/>
  <c r="AE19" i="10" s="1"/>
  <c r="AF19" i="10" s="1"/>
  <c r="AG19" i="10" s="1"/>
  <c r="AH19" i="10" s="1"/>
  <c r="AI19" i="10" s="1"/>
  <c r="N29" i="11" s="1"/>
  <c r="O29" i="11" s="1"/>
  <c r="AD24" i="10"/>
  <c r="AE24" i="10" s="1"/>
  <c r="AF24" i="10" s="1"/>
  <c r="AG24" i="10" s="1"/>
  <c r="AH24" i="10" s="1"/>
  <c r="AI24" i="10" s="1"/>
  <c r="N34" i="11" s="1"/>
  <c r="O34" i="11" s="1"/>
  <c r="BT21" i="10"/>
  <c r="AK18" i="10"/>
  <c r="BT18" i="10" s="1"/>
  <c r="AD18" i="10"/>
  <c r="AE18" i="10" s="1"/>
  <c r="AF18" i="10" s="1"/>
  <c r="AG18" i="10" s="1"/>
  <c r="AH18" i="10" s="1"/>
  <c r="AI18" i="10" s="1"/>
  <c r="N28" i="11" s="1"/>
  <c r="O28" i="11" s="1"/>
  <c r="AO14" i="10"/>
  <c r="BT26" i="10"/>
  <c r="AK29" i="10"/>
  <c r="BP29" i="10" s="1"/>
  <c r="BT13" i="10"/>
  <c r="BT6" i="10"/>
  <c r="AD8" i="10"/>
  <c r="AE8" i="10" s="1"/>
  <c r="AF8" i="10" s="1"/>
  <c r="AG8" i="10" s="1"/>
  <c r="AH8" i="10" s="1"/>
  <c r="AI8" i="10" s="1"/>
  <c r="N18" i="11" s="1"/>
  <c r="O18" i="11" s="1"/>
  <c r="AD12" i="10"/>
  <c r="AE12" i="10" s="1"/>
  <c r="AF12" i="10" s="1"/>
  <c r="AG12" i="10" s="1"/>
  <c r="AH12" i="10" s="1"/>
  <c r="AI12" i="10" s="1"/>
  <c r="N22" i="11" s="1"/>
  <c r="O22" i="11" s="1"/>
  <c r="BT17" i="10"/>
  <c r="AD22" i="10"/>
  <c r="AE22" i="10" s="1"/>
  <c r="AF22" i="10" s="1"/>
  <c r="AG22" i="10" s="1"/>
  <c r="AH22" i="10" s="1"/>
  <c r="AI22" i="10" s="1"/>
  <c r="N32" i="11" s="1"/>
  <c r="O32" i="11" s="1"/>
  <c r="D23" i="10"/>
  <c r="E23" i="10" s="1"/>
  <c r="F23" i="10" s="1"/>
  <c r="G23" i="10" s="1"/>
  <c r="AD25" i="10"/>
  <c r="AE25" i="10" s="1"/>
  <c r="AF25" i="10" s="1"/>
  <c r="AG25" i="10" s="1"/>
  <c r="AH25" i="10" s="1"/>
  <c r="AI25" i="10" s="1"/>
  <c r="N35" i="11" s="1"/>
  <c r="O35" i="11" s="1"/>
  <c r="AD28" i="10"/>
  <c r="AE28" i="10" s="1"/>
  <c r="AF28" i="10" s="1"/>
  <c r="AG28" i="10" s="1"/>
  <c r="AH28" i="10" s="1"/>
  <c r="AI28" i="10" s="1"/>
  <c r="N38" i="11" s="1"/>
  <c r="O38" i="11" s="1"/>
  <c r="AO5" i="10"/>
  <c r="AD7" i="10"/>
  <c r="AE7" i="10" s="1"/>
  <c r="AF7" i="10" s="1"/>
  <c r="AG7" i="10" s="1"/>
  <c r="AH7" i="10" s="1"/>
  <c r="AI7" i="10" s="1"/>
  <c r="N17" i="11" s="1"/>
  <c r="O17" i="11" s="1"/>
  <c r="D8" i="10"/>
  <c r="E8" i="10" s="1"/>
  <c r="F8" i="10" s="1"/>
  <c r="G8" i="10" s="1"/>
  <c r="BT16" i="10"/>
  <c r="AO17" i="10"/>
  <c r="AO21" i="10"/>
  <c r="AD9" i="10"/>
  <c r="AE9" i="10" s="1"/>
  <c r="AF9" i="10" s="1"/>
  <c r="AG9" i="10" s="1"/>
  <c r="AH9" i="10" s="1"/>
  <c r="AI9" i="10" s="1"/>
  <c r="N19" i="11" s="1"/>
  <c r="O19" i="11" s="1"/>
  <c r="AD13" i="10"/>
  <c r="AE13" i="10" s="1"/>
  <c r="AF13" i="10" s="1"/>
  <c r="AG13" i="10" s="1"/>
  <c r="AH13" i="10" s="1"/>
  <c r="AI13" i="10" s="1"/>
  <c r="N23" i="11" s="1"/>
  <c r="O23" i="11" s="1"/>
  <c r="AD23" i="10"/>
  <c r="AE23" i="10" s="1"/>
  <c r="AF23" i="10" s="1"/>
  <c r="AG23" i="10" s="1"/>
  <c r="AH23" i="10" s="1"/>
  <c r="AI23" i="10" s="1"/>
  <c r="N33" i="11" s="1"/>
  <c r="O33" i="11" s="1"/>
  <c r="D24" i="10"/>
  <c r="E24" i="10" s="1"/>
  <c r="F24" i="10" s="1"/>
  <c r="G24" i="10" s="1"/>
  <c r="BT20" i="10"/>
  <c r="AD27" i="10"/>
  <c r="AE27" i="10" s="1"/>
  <c r="AF27" i="10" s="1"/>
  <c r="AG27" i="10" s="1"/>
  <c r="AH27" i="10" s="1"/>
  <c r="AI27" i="10" s="1"/>
  <c r="N37" i="11" s="1"/>
  <c r="O37" i="11" s="1"/>
  <c r="BS20" i="10"/>
  <c r="AD4" i="10"/>
  <c r="AE4" i="10" s="1"/>
  <c r="AF4" i="10" s="1"/>
  <c r="AG4" i="10" s="1"/>
  <c r="AH4" i="10" s="1"/>
  <c r="AI4" i="10" s="1"/>
  <c r="N14" i="11" s="1"/>
  <c r="O14" i="11" s="1"/>
  <c r="AO16" i="10"/>
  <c r="AD17" i="10"/>
  <c r="AE17" i="10" s="1"/>
  <c r="AF17" i="10" s="1"/>
  <c r="AG17" i="10" s="1"/>
  <c r="AH17" i="10" s="1"/>
  <c r="AI17" i="10" s="1"/>
  <c r="N27" i="11" s="1"/>
  <c r="O27" i="11" s="1"/>
  <c r="D18" i="10"/>
  <c r="E18" i="10" s="1"/>
  <c r="F18" i="10" s="1"/>
  <c r="G18" i="10" s="1"/>
  <c r="AO23" i="10"/>
  <c r="D3" i="10"/>
  <c r="E3" i="10" s="1"/>
  <c r="F3" i="10" s="1"/>
  <c r="G3" i="10" s="1"/>
  <c r="D5" i="10"/>
  <c r="E5" i="10" s="1"/>
  <c r="F5" i="10" s="1"/>
  <c r="G5" i="10" s="1"/>
  <c r="F2" i="10"/>
  <c r="G2" i="10" s="1"/>
  <c r="H2" i="10" s="1"/>
  <c r="I2" i="10" s="1"/>
  <c r="AN3" i="10"/>
  <c r="BS4" i="10"/>
  <c r="BS5" i="10"/>
  <c r="BS21" i="10"/>
  <c r="AN23" i="10"/>
  <c r="AP23" i="10" s="1"/>
  <c r="AQ23" i="10" s="1"/>
  <c r="AS23" i="10" s="1"/>
  <c r="BS24" i="10"/>
  <c r="AN26" i="10"/>
  <c r="BS27" i="10"/>
  <c r="BS29" i="10"/>
  <c r="AN2" i="10"/>
  <c r="BS3" i="10"/>
  <c r="AN15" i="10"/>
  <c r="BS26" i="10"/>
  <c r="AN31" i="10"/>
  <c r="BS2" i="10"/>
  <c r="AN5" i="10"/>
  <c r="AN21" i="10"/>
  <c r="AN22" i="10"/>
  <c r="BS23" i="10"/>
  <c r="BS28" i="10"/>
  <c r="AN30" i="10"/>
  <c r="AN4" i="10"/>
  <c r="BS6" i="10"/>
  <c r="AN14" i="10"/>
  <c r="AN17" i="10"/>
  <c r="BS22" i="10"/>
  <c r="AN24" i="10"/>
  <c r="BS25" i="10"/>
  <c r="AN27" i="10"/>
  <c r="AN29" i="10"/>
  <c r="BT4" i="10"/>
  <c r="BS13" i="10"/>
  <c r="BS19" i="10"/>
  <c r="AN7" i="10"/>
  <c r="BS15" i="10"/>
  <c r="BT22" i="10"/>
  <c r="AO22" i="10"/>
  <c r="H9" i="10"/>
  <c r="I9" i="10" s="1"/>
  <c r="BS7" i="10"/>
  <c r="AN8" i="10"/>
  <c r="F29" i="10"/>
  <c r="G29" i="10" s="1"/>
  <c r="BT5" i="10"/>
  <c r="AO6" i="10"/>
  <c r="AN6" i="10"/>
  <c r="BT10" i="10"/>
  <c r="BS10" i="10"/>
  <c r="F19" i="10"/>
  <c r="G19" i="10" s="1"/>
  <c r="BS11" i="10"/>
  <c r="BT14" i="10"/>
  <c r="BS14" i="10"/>
  <c r="F27" i="10"/>
  <c r="G27" i="10" s="1"/>
  <c r="F28" i="10"/>
  <c r="G28" i="10" s="1"/>
  <c r="AO4" i="10"/>
  <c r="BS8" i="10"/>
  <c r="G12" i="10"/>
  <c r="AO9" i="10"/>
  <c r="AN9" i="10"/>
  <c r="G7" i="10"/>
  <c r="G13" i="10"/>
  <c r="H17" i="10"/>
  <c r="I17" i="10" s="1"/>
  <c r="F22" i="10"/>
  <c r="G22" i="10" s="1"/>
  <c r="F25" i="10"/>
  <c r="G25" i="10" s="1"/>
  <c r="BT9" i="10"/>
  <c r="BS9" i="10"/>
  <c r="BT12" i="10"/>
  <c r="BS12" i="10"/>
  <c r="AO10" i="10"/>
  <c r="AN10" i="10"/>
  <c r="AN11" i="10"/>
  <c r="AO12" i="10"/>
  <c r="AN12" i="10"/>
  <c r="AO13" i="10"/>
  <c r="AN13" i="10"/>
  <c r="AN16" i="10"/>
  <c r="BS18" i="10"/>
  <c r="AO20" i="10"/>
  <c r="AN20" i="10"/>
  <c r="BS17" i="10"/>
  <c r="AN19" i="10"/>
  <c r="BS16" i="10"/>
  <c r="AN18" i="10"/>
  <c r="AN25" i="10"/>
  <c r="AO25" i="10"/>
  <c r="BT23" i="10"/>
  <c r="AN28" i="10"/>
  <c r="AO28" i="10"/>
  <c r="AO26" i="10"/>
  <c r="BT27" i="10"/>
  <c r="BT25" i="10"/>
  <c r="AO27" i="10"/>
  <c r="BS30" i="10"/>
  <c r="BT30" i="10"/>
  <c r="BS31" i="10"/>
  <c r="BT28" i="10"/>
  <c r="AO30" i="10"/>
  <c r="AK3" i="10"/>
  <c r="BT3" i="10" s="1"/>
  <c r="BP6" i="10"/>
  <c r="AK7" i="10"/>
  <c r="AO7" i="10" s="1"/>
  <c r="BP10" i="10"/>
  <c r="BP5" i="10"/>
  <c r="AK11" i="10"/>
  <c r="BT11" i="10" s="1"/>
  <c r="BP14" i="10"/>
  <c r="AL8" i="10"/>
  <c r="BT8" i="10" s="1"/>
  <c r="BP9" i="10"/>
  <c r="BP16" i="10"/>
  <c r="BP17" i="10"/>
  <c r="AK15" i="10"/>
  <c r="AO15" i="10" s="1"/>
  <c r="AK19" i="10"/>
  <c r="AO19" i="10" s="1"/>
  <c r="BP22" i="10"/>
  <c r="BP25" i="10"/>
  <c r="BP21" i="10"/>
  <c r="BP23" i="10"/>
  <c r="AK24" i="10"/>
  <c r="BT24" i="10" s="1"/>
  <c r="BP27" i="10"/>
  <c r="AK31" i="10"/>
  <c r="BT31" i="10" s="1"/>
  <c r="BP28" i="10"/>
  <c r="BP30" i="10"/>
  <c r="AD5" i="10"/>
  <c r="AE5" i="10" s="1"/>
  <c r="AF5" i="10" s="1"/>
  <c r="AG5" i="10" s="1"/>
  <c r="AH5" i="10" s="1"/>
  <c r="AI5" i="10" s="1"/>
  <c r="N15" i="11" s="1"/>
  <c r="O15" i="11" s="1"/>
  <c r="D20" i="10"/>
  <c r="E20" i="10" s="1"/>
  <c r="F20" i="10" s="1"/>
  <c r="G20" i="10" s="1"/>
  <c r="H20" i="10" s="1"/>
  <c r="I20" i="10" s="1"/>
  <c r="D14" i="10"/>
  <c r="E14" i="10" s="1"/>
  <c r="F14" i="10" s="1"/>
  <c r="G14" i="10" s="1"/>
  <c r="H14" i="10" s="1"/>
  <c r="I14" i="10" s="1"/>
  <c r="J14" i="10" s="1"/>
  <c r="K14" i="10" s="1"/>
  <c r="L14" i="10" s="1"/>
  <c r="H24" i="11" s="1"/>
  <c r="I24" i="11" s="1"/>
  <c r="AD14" i="10"/>
  <c r="AE14" i="10" s="1"/>
  <c r="AF14" i="10" s="1"/>
  <c r="AG14" i="10" s="1"/>
  <c r="AH14" i="10" s="1"/>
  <c r="AI14" i="10" s="1"/>
  <c r="N24" i="11" s="1"/>
  <c r="O24" i="11" s="1"/>
  <c r="AD20" i="10"/>
  <c r="AE20" i="10" s="1"/>
  <c r="AF20" i="10" s="1"/>
  <c r="AG20" i="10" s="1"/>
  <c r="AH20" i="10" s="1"/>
  <c r="AI20" i="10" s="1"/>
  <c r="N30" i="11" s="1"/>
  <c r="O30" i="11" s="1"/>
  <c r="D30" i="10"/>
  <c r="E30" i="10" s="1"/>
  <c r="F30" i="10" s="1"/>
  <c r="G30" i="10" s="1"/>
  <c r="AD30" i="10"/>
  <c r="AE30" i="10" s="1"/>
  <c r="AF30" i="10" s="1"/>
  <c r="AG30" i="10" s="1"/>
  <c r="AH30" i="10" s="1"/>
  <c r="AI30" i="10" s="1"/>
  <c r="N40" i="11" s="1"/>
  <c r="O40" i="11" s="1"/>
  <c r="D10" i="10"/>
  <c r="E10" i="10" s="1"/>
  <c r="F10" i="10" s="1"/>
  <c r="G10" i="10" s="1"/>
  <c r="AD10" i="10"/>
  <c r="AE10" i="10" s="1"/>
  <c r="AF10" i="10" s="1"/>
  <c r="AG10" i="10" s="1"/>
  <c r="AH10" i="10" s="1"/>
  <c r="AI10" i="10" s="1"/>
  <c r="N20" i="11" s="1"/>
  <c r="O20" i="11" s="1"/>
  <c r="AA72" i="6"/>
  <c r="AA71" i="6"/>
  <c r="AA70" i="6"/>
  <c r="AA69" i="6"/>
  <c r="AA68" i="6"/>
  <c r="AA67" i="6"/>
  <c r="AA66" i="6"/>
  <c r="AA65" i="6"/>
  <c r="AA64" i="6"/>
  <c r="AA63" i="6"/>
  <c r="AA62" i="6"/>
  <c r="AA61" i="6"/>
  <c r="AA60" i="6"/>
  <c r="AA59" i="6"/>
  <c r="AA58" i="6"/>
  <c r="AA57" i="6"/>
  <c r="AA56" i="6"/>
  <c r="AA55" i="6"/>
  <c r="AA54" i="6"/>
  <c r="AA53" i="6"/>
  <c r="AA52" i="6"/>
  <c r="AA51" i="6"/>
  <c r="AA50" i="6"/>
  <c r="AA49" i="6"/>
  <c r="AA48" i="6"/>
  <c r="AA47" i="6"/>
  <c r="AA46" i="6"/>
  <c r="AA45" i="6"/>
  <c r="AA44" i="6"/>
  <c r="AA43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26" i="6"/>
  <c r="AA27" i="6"/>
  <c r="AA28" i="6"/>
  <c r="AA29" i="6"/>
  <c r="AA30" i="6"/>
  <c r="AA31" i="6"/>
  <c r="AA32" i="6"/>
  <c r="AA33" i="6"/>
  <c r="AA34" i="6"/>
  <c r="AA35" i="6"/>
  <c r="AA36" i="6"/>
  <c r="AA37" i="6"/>
  <c r="AA38" i="6"/>
  <c r="AA39" i="6"/>
  <c r="AA10" i="6"/>
  <c r="BP18" i="10" l="1"/>
  <c r="AO18" i="10"/>
  <c r="AP18" i="10" s="1"/>
  <c r="AQ18" i="10" s="1"/>
  <c r="AR18" i="10" s="1"/>
  <c r="AO29" i="10"/>
  <c r="AP29" i="10" s="1"/>
  <c r="AQ29" i="10" s="1"/>
  <c r="AR29" i="10" s="1"/>
  <c r="G24" i="11"/>
  <c r="F57" i="11" s="1"/>
  <c r="M18" i="11"/>
  <c r="G51" i="11" s="1"/>
  <c r="M13" i="11"/>
  <c r="G46" i="11" s="1"/>
  <c r="M30" i="11"/>
  <c r="G63" i="11" s="1"/>
  <c r="M27" i="11"/>
  <c r="G60" i="11" s="1"/>
  <c r="M37" i="11"/>
  <c r="G70" i="11" s="1"/>
  <c r="M23" i="11"/>
  <c r="G56" i="11" s="1"/>
  <c r="M38" i="11"/>
  <c r="G71" i="11" s="1"/>
  <c r="M39" i="11"/>
  <c r="G72" i="11" s="1"/>
  <c r="M32" i="11"/>
  <c r="G65" i="11" s="1"/>
  <c r="M40" i="11"/>
  <c r="G73" i="11" s="1"/>
  <c r="M24" i="11"/>
  <c r="G57" i="11" s="1"/>
  <c r="M19" i="11"/>
  <c r="G52" i="11" s="1"/>
  <c r="M35" i="11"/>
  <c r="G68" i="11" s="1"/>
  <c r="M34" i="11"/>
  <c r="G67" i="11" s="1"/>
  <c r="M33" i="11"/>
  <c r="G66" i="11" s="1"/>
  <c r="M20" i="11"/>
  <c r="G53" i="11" s="1"/>
  <c r="M15" i="11"/>
  <c r="G48" i="11" s="1"/>
  <c r="M14" i="11"/>
  <c r="G47" i="11" s="1"/>
  <c r="M17" i="11"/>
  <c r="G50" i="11" s="1"/>
  <c r="M22" i="11"/>
  <c r="G55" i="11" s="1"/>
  <c r="M28" i="11"/>
  <c r="G61" i="11" s="1"/>
  <c r="M29" i="11"/>
  <c r="G62" i="11" s="1"/>
  <c r="BU16" i="10"/>
  <c r="BV16" i="10" s="1"/>
  <c r="BU24" i="10"/>
  <c r="BV24" i="10" s="1"/>
  <c r="BW24" i="10" s="1"/>
  <c r="BU4" i="10"/>
  <c r="BV4" i="10" s="1"/>
  <c r="BW4" i="10" s="1"/>
  <c r="AO8" i="10"/>
  <c r="AP8" i="10" s="1"/>
  <c r="AQ8" i="10" s="1"/>
  <c r="BU21" i="10"/>
  <c r="BT29" i="10"/>
  <c r="BU29" i="10" s="1"/>
  <c r="BV29" i="10" s="1"/>
  <c r="BW29" i="10" s="1"/>
  <c r="AP17" i="10"/>
  <c r="AQ17" i="10" s="1"/>
  <c r="AS17" i="10" s="1"/>
  <c r="BU13" i="10"/>
  <c r="BV13" i="10" s="1"/>
  <c r="BW13" i="10" s="1"/>
  <c r="AP14" i="10"/>
  <c r="AQ14" i="10" s="1"/>
  <c r="AP5" i="10"/>
  <c r="AQ5" i="10" s="1"/>
  <c r="AR5" i="10" s="1"/>
  <c r="AO24" i="10"/>
  <c r="AP24" i="10" s="1"/>
  <c r="AQ24" i="10" s="1"/>
  <c r="AS24" i="10" s="1"/>
  <c r="AO11" i="10"/>
  <c r="AP11" i="10" s="1"/>
  <c r="AP21" i="10"/>
  <c r="BU26" i="10"/>
  <c r="BU28" i="10"/>
  <c r="BV28" i="10" s="1"/>
  <c r="BX28" i="10" s="1"/>
  <c r="AP6" i="10"/>
  <c r="AQ6" i="10" s="1"/>
  <c r="AR6" i="10" s="1"/>
  <c r="BU20" i="10"/>
  <c r="AP19" i="10"/>
  <c r="AQ19" i="10" s="1"/>
  <c r="AS19" i="10" s="1"/>
  <c r="BU17" i="10"/>
  <c r="BV17" i="10" s="1"/>
  <c r="BW17" i="10" s="1"/>
  <c r="AO3" i="10"/>
  <c r="AP3" i="10" s="1"/>
  <c r="AQ3" i="10" s="1"/>
  <c r="AS3" i="10" s="1"/>
  <c r="BT19" i="10"/>
  <c r="BU19" i="10" s="1"/>
  <c r="BV19" i="10" s="1"/>
  <c r="BW19" i="10" s="1"/>
  <c r="BT15" i="10"/>
  <c r="BU15" i="10" s="1"/>
  <c r="BV15" i="10" s="1"/>
  <c r="BU3" i="10"/>
  <c r="BV3" i="10" s="1"/>
  <c r="BW3" i="10" s="1"/>
  <c r="AP16" i="10"/>
  <c r="BT7" i="10"/>
  <c r="BU7" i="10" s="1"/>
  <c r="BV7" i="10" s="1"/>
  <c r="BX7" i="10" s="1"/>
  <c r="AP7" i="10"/>
  <c r="AQ7" i="10" s="1"/>
  <c r="AS7" i="10" s="1"/>
  <c r="BU6" i="10"/>
  <c r="BV6" i="10" s="1"/>
  <c r="BX6" i="10" s="1"/>
  <c r="AO31" i="10"/>
  <c r="AP31" i="10" s="1"/>
  <c r="D26" i="10"/>
  <c r="E26" i="10" s="1"/>
  <c r="F26" i="10" s="1"/>
  <c r="G26" i="10" s="1"/>
  <c r="AP15" i="10"/>
  <c r="AD26" i="10"/>
  <c r="AE26" i="10" s="1"/>
  <c r="AF26" i="10" s="1"/>
  <c r="AG26" i="10" s="1"/>
  <c r="AH26" i="10" s="1"/>
  <c r="AI26" i="10" s="1"/>
  <c r="N36" i="11" s="1"/>
  <c r="O36" i="11" s="1"/>
  <c r="BU25" i="10"/>
  <c r="BV25" i="10" s="1"/>
  <c r="BX25" i="10" s="1"/>
  <c r="AR23" i="10"/>
  <c r="AT23" i="10" s="1"/>
  <c r="AU23" i="10" s="1"/>
  <c r="AW23" i="10" s="1"/>
  <c r="BU23" i="10"/>
  <c r="BV23" i="10" s="1"/>
  <c r="BW23" i="10" s="1"/>
  <c r="D4" i="10"/>
  <c r="E4" i="10" s="1"/>
  <c r="F4" i="10" s="1"/>
  <c r="G4" i="10" s="1"/>
  <c r="H4" i="10" s="1"/>
  <c r="I4" i="10" s="1"/>
  <c r="AP27" i="10"/>
  <c r="AQ27" i="10" s="1"/>
  <c r="AS27" i="10" s="1"/>
  <c r="BU5" i="10"/>
  <c r="BV5" i="10" s="1"/>
  <c r="BX5" i="10" s="1"/>
  <c r="AP30" i="10"/>
  <c r="AQ30" i="10" s="1"/>
  <c r="AR30" i="10" s="1"/>
  <c r="AP26" i="10"/>
  <c r="BU27" i="10"/>
  <c r="BV27" i="10" s="1"/>
  <c r="BX27" i="10" s="1"/>
  <c r="AP4" i="10"/>
  <c r="AQ4" i="10" s="1"/>
  <c r="AP22" i="10"/>
  <c r="AQ22" i="10" s="1"/>
  <c r="BU22" i="10"/>
  <c r="BV22" i="10" s="1"/>
  <c r="BU31" i="10"/>
  <c r="BU30" i="10"/>
  <c r="BV30" i="10" s="1"/>
  <c r="BX30" i="10" s="1"/>
  <c r="AP12" i="10"/>
  <c r="AQ12" i="10" s="1"/>
  <c r="AR12" i="10" s="1"/>
  <c r="AP10" i="10"/>
  <c r="AQ10" i="10" s="1"/>
  <c r="AS10" i="10" s="1"/>
  <c r="BU12" i="10"/>
  <c r="BV12" i="10" s="1"/>
  <c r="BW12" i="10" s="1"/>
  <c r="AP13" i="10"/>
  <c r="AQ13" i="10" s="1"/>
  <c r="AR13" i="10" s="1"/>
  <c r="BU18" i="10"/>
  <c r="BV18" i="10" s="1"/>
  <c r="BX18" i="10" s="1"/>
  <c r="BU9" i="10"/>
  <c r="BV9" i="10" s="1"/>
  <c r="BW9" i="10" s="1"/>
  <c r="BU11" i="10"/>
  <c r="AP9" i="10"/>
  <c r="AQ9" i="10" s="1"/>
  <c r="AS9" i="10" s="1"/>
  <c r="H25" i="10"/>
  <c r="I25" i="10" s="1"/>
  <c r="J17" i="10"/>
  <c r="K17" i="10" s="1"/>
  <c r="L17" i="10" s="1"/>
  <c r="H27" i="11" s="1"/>
  <c r="I27" i="11" s="1"/>
  <c r="H3" i="10"/>
  <c r="I3" i="10" s="1"/>
  <c r="H10" i="10"/>
  <c r="I10" i="10" s="1"/>
  <c r="H27" i="10"/>
  <c r="I27" i="10" s="1"/>
  <c r="H18" i="10"/>
  <c r="I18" i="10" s="1"/>
  <c r="J20" i="10"/>
  <c r="K20" i="10" s="1"/>
  <c r="L20" i="10" s="1"/>
  <c r="H30" i="11" s="1"/>
  <c r="I30" i="11" s="1"/>
  <c r="H30" i="10"/>
  <c r="I30" i="10" s="1"/>
  <c r="H19" i="10"/>
  <c r="I19" i="10" s="1"/>
  <c r="H29" i="10"/>
  <c r="I29" i="10" s="1"/>
  <c r="J9" i="10"/>
  <c r="K9" i="10" s="1"/>
  <c r="L9" i="10" s="1"/>
  <c r="H19" i="11" s="1"/>
  <c r="I19" i="11" s="1"/>
  <c r="H26" i="10"/>
  <c r="I26" i="10" s="1"/>
  <c r="J26" i="10" s="1"/>
  <c r="K26" i="10" s="1"/>
  <c r="L26" i="10" s="1"/>
  <c r="H36" i="11" s="1"/>
  <c r="I36" i="11" s="1"/>
  <c r="H23" i="10"/>
  <c r="I23" i="10" s="1"/>
  <c r="H5" i="10"/>
  <c r="I5" i="10" s="1"/>
  <c r="H28" i="10"/>
  <c r="I28" i="10" s="1"/>
  <c r="H8" i="10"/>
  <c r="I8" i="10" s="1"/>
  <c r="AP25" i="10"/>
  <c r="H24" i="10"/>
  <c r="I24" i="10" s="1"/>
  <c r="H22" i="10"/>
  <c r="I22" i="10" s="1"/>
  <c r="AP28" i="10"/>
  <c r="AQ28" i="10" s="1"/>
  <c r="H12" i="10"/>
  <c r="I12" i="10" s="1"/>
  <c r="BU14" i="10"/>
  <c r="BV14" i="10" s="1"/>
  <c r="H13" i="10"/>
  <c r="I13" i="10" s="1"/>
  <c r="AP20" i="10"/>
  <c r="AQ20" i="10" s="1"/>
  <c r="H7" i="10"/>
  <c r="I7" i="10" s="1"/>
  <c r="BU8" i="10"/>
  <c r="BV8" i="10" s="1"/>
  <c r="BU10" i="10"/>
  <c r="BV10" i="10" s="1"/>
  <c r="J2" i="10"/>
  <c r="K2" i="10" s="1"/>
  <c r="L2" i="10" s="1"/>
  <c r="H12" i="11" s="1"/>
  <c r="BP24" i="10"/>
  <c r="BP31" i="10"/>
  <c r="BP19" i="10"/>
  <c r="BP3" i="10"/>
  <c r="BQ8" i="10"/>
  <c r="BP11" i="10"/>
  <c r="BP15" i="10"/>
  <c r="BP7" i="10"/>
  <c r="AD15" i="10"/>
  <c r="AE15" i="10" s="1"/>
  <c r="AF15" i="10" s="1"/>
  <c r="AG15" i="10" s="1"/>
  <c r="AH15" i="10" s="1"/>
  <c r="AI15" i="10" s="1"/>
  <c r="N25" i="11" s="1"/>
  <c r="O25" i="11" s="1"/>
  <c r="D15" i="10"/>
  <c r="E15" i="10" s="1"/>
  <c r="F15" i="10" s="1"/>
  <c r="G15" i="10" s="1"/>
  <c r="H15" i="10" s="1"/>
  <c r="I15" i="10" s="1"/>
  <c r="I12" i="11" l="1"/>
  <c r="G12" i="11"/>
  <c r="G36" i="11"/>
  <c r="F69" i="11" s="1"/>
  <c r="M25" i="11"/>
  <c r="G58" i="11" s="1"/>
  <c r="G19" i="11"/>
  <c r="F52" i="11" s="1"/>
  <c r="G30" i="11"/>
  <c r="F63" i="11" s="1"/>
  <c r="G27" i="11"/>
  <c r="F60" i="11" s="1"/>
  <c r="M36" i="11"/>
  <c r="G69" i="11" s="1"/>
  <c r="F45" i="11"/>
  <c r="BX24" i="10"/>
  <c r="BY24" i="10" s="1"/>
  <c r="BZ24" i="10" s="1"/>
  <c r="CA24" i="10" s="1"/>
  <c r="BV26" i="10"/>
  <c r="BW26" i="10" s="1"/>
  <c r="BX4" i="10"/>
  <c r="BY4" i="10" s="1"/>
  <c r="BZ4" i="10" s="1"/>
  <c r="CA4" i="10" s="1"/>
  <c r="AR17" i="10"/>
  <c r="AT17" i="10" s="1"/>
  <c r="AU17" i="10" s="1"/>
  <c r="AV17" i="10" s="1"/>
  <c r="BX17" i="10"/>
  <c r="BY17" i="10" s="1"/>
  <c r="BZ17" i="10" s="1"/>
  <c r="BX3" i="10"/>
  <c r="BY3" i="10" s="1"/>
  <c r="BZ3" i="10" s="1"/>
  <c r="BW28" i="10"/>
  <c r="BY28" i="10" s="1"/>
  <c r="BZ28" i="10" s="1"/>
  <c r="BW6" i="10"/>
  <c r="BY6" i="10" s="1"/>
  <c r="BZ6" i="10" s="1"/>
  <c r="CA6" i="10" s="1"/>
  <c r="BX13" i="10"/>
  <c r="BY13" i="10" s="1"/>
  <c r="BZ13" i="10" s="1"/>
  <c r="CB13" i="10" s="1"/>
  <c r="BW27" i="10"/>
  <c r="BY27" i="10" s="1"/>
  <c r="BZ27" i="10" s="1"/>
  <c r="CA27" i="10" s="1"/>
  <c r="AR19" i="10"/>
  <c r="AT19" i="10" s="1"/>
  <c r="AU19" i="10" s="1"/>
  <c r="AQ21" i="10"/>
  <c r="AR21" i="10" s="1"/>
  <c r="AS30" i="10"/>
  <c r="AT30" i="10" s="1"/>
  <c r="AU30" i="10" s="1"/>
  <c r="BV20" i="10"/>
  <c r="BW20" i="10" s="1"/>
  <c r="AQ31" i="10"/>
  <c r="AS31" i="10" s="1"/>
  <c r="AQ15" i="10"/>
  <c r="AR15" i="10" s="1"/>
  <c r="BW25" i="10"/>
  <c r="BY25" i="10" s="1"/>
  <c r="BZ25" i="10" s="1"/>
  <c r="AS18" i="10"/>
  <c r="AT18" i="10" s="1"/>
  <c r="AU18" i="10" s="1"/>
  <c r="AR7" i="10"/>
  <c r="AT7" i="10" s="1"/>
  <c r="AU7" i="10" s="1"/>
  <c r="AW7" i="10" s="1"/>
  <c r="BX19" i="10"/>
  <c r="BY19" i="10" s="1"/>
  <c r="BZ19" i="10" s="1"/>
  <c r="CB19" i="10" s="1"/>
  <c r="BW15" i="10"/>
  <c r="BX15" i="10"/>
  <c r="AD21" i="10"/>
  <c r="AE21" i="10" s="1"/>
  <c r="AF21" i="10" s="1"/>
  <c r="AG21" i="10" s="1"/>
  <c r="AH21" i="10" s="1"/>
  <c r="AI21" i="10" s="1"/>
  <c r="N31" i="11" s="1"/>
  <c r="O31" i="11" s="1"/>
  <c r="D31" i="10"/>
  <c r="E31" i="10" s="1"/>
  <c r="F31" i="10" s="1"/>
  <c r="G31" i="10" s="1"/>
  <c r="H31" i="10" s="1"/>
  <c r="I31" i="10" s="1"/>
  <c r="J31" i="10" s="1"/>
  <c r="K31" i="10" s="1"/>
  <c r="L31" i="10" s="1"/>
  <c r="H41" i="11" s="1"/>
  <c r="I41" i="11" s="1"/>
  <c r="AD11" i="10"/>
  <c r="AE11" i="10" s="1"/>
  <c r="AF11" i="10" s="1"/>
  <c r="AG11" i="10" s="1"/>
  <c r="AH11" i="10" s="1"/>
  <c r="AI11" i="10" s="1"/>
  <c r="N21" i="11" s="1"/>
  <c r="O21" i="11" s="1"/>
  <c r="BX29" i="10"/>
  <c r="BY29" i="10" s="1"/>
  <c r="BZ29" i="10" s="1"/>
  <c r="CB29" i="10" s="1"/>
  <c r="D21" i="10"/>
  <c r="E21" i="10" s="1"/>
  <c r="F21" i="10" s="1"/>
  <c r="G21" i="10" s="1"/>
  <c r="H21" i="10" s="1"/>
  <c r="I21" i="10" s="1"/>
  <c r="J21" i="10" s="1"/>
  <c r="K21" i="10" s="1"/>
  <c r="L21" i="10" s="1"/>
  <c r="H31" i="11" s="1"/>
  <c r="I31" i="11" s="1"/>
  <c r="D11" i="10"/>
  <c r="E11" i="10" s="1"/>
  <c r="F11" i="10" s="1"/>
  <c r="G11" i="10" s="1"/>
  <c r="H11" i="10" s="1"/>
  <c r="I11" i="10" s="1"/>
  <c r="J11" i="10" s="1"/>
  <c r="K11" i="10" s="1"/>
  <c r="L11" i="10" s="1"/>
  <c r="H21" i="11" s="1"/>
  <c r="I21" i="11" s="1"/>
  <c r="AD31" i="10"/>
  <c r="AE31" i="10" s="1"/>
  <c r="AF31" i="10" s="1"/>
  <c r="AG31" i="10" s="1"/>
  <c r="AH31" i="10" s="1"/>
  <c r="AI31" i="10" s="1"/>
  <c r="N41" i="11" s="1"/>
  <c r="O41" i="11" s="1"/>
  <c r="AD6" i="10"/>
  <c r="AE6" i="10" s="1"/>
  <c r="AF6" i="10" s="1"/>
  <c r="AG6" i="10" s="1"/>
  <c r="AH6" i="10" s="1"/>
  <c r="AI6" i="10" s="1"/>
  <c r="N16" i="11" s="1"/>
  <c r="O16" i="11" s="1"/>
  <c r="AR27" i="10"/>
  <c r="AT27" i="10" s="1"/>
  <c r="AU27" i="10" s="1"/>
  <c r="BX23" i="10"/>
  <c r="BY23" i="10" s="1"/>
  <c r="BZ23" i="10" s="1"/>
  <c r="AV23" i="10"/>
  <c r="AX23" i="10" s="1"/>
  <c r="AY23" i="10" s="1"/>
  <c r="AZ23" i="10" s="1"/>
  <c r="BX12" i="10"/>
  <c r="BY12" i="10" s="1"/>
  <c r="BZ12" i="10" s="1"/>
  <c r="AR3" i="10"/>
  <c r="AT3" i="10" s="1"/>
  <c r="AU3" i="10" s="1"/>
  <c r="AW3" i="10" s="1"/>
  <c r="BW5" i="10"/>
  <c r="BY5" i="10" s="1"/>
  <c r="BZ5" i="10" s="1"/>
  <c r="BX9" i="10"/>
  <c r="BY9" i="10" s="1"/>
  <c r="BZ9" i="10" s="1"/>
  <c r="AR24" i="10"/>
  <c r="AT24" i="10" s="1"/>
  <c r="AU24" i="10" s="1"/>
  <c r="AS12" i="10"/>
  <c r="AT12" i="10" s="1"/>
  <c r="AU12" i="10" s="1"/>
  <c r="D6" i="10"/>
  <c r="E6" i="10" s="1"/>
  <c r="F6" i="10" s="1"/>
  <c r="G6" i="10" s="1"/>
  <c r="H6" i="10" s="1"/>
  <c r="I6" i="10" s="1"/>
  <c r="J6" i="10" s="1"/>
  <c r="K6" i="10" s="1"/>
  <c r="L6" i="10" s="1"/>
  <c r="H16" i="11" s="1"/>
  <c r="I16" i="11" s="1"/>
  <c r="BX16" i="10"/>
  <c r="BW16" i="10"/>
  <c r="AS5" i="10"/>
  <c r="AT5" i="10" s="1"/>
  <c r="AU5" i="10" s="1"/>
  <c r="AQ11" i="10"/>
  <c r="AS11" i="10" s="1"/>
  <c r="AQ25" i="10"/>
  <c r="AR25" i="10" s="1"/>
  <c r="AR10" i="10"/>
  <c r="AT10" i="10" s="1"/>
  <c r="AU10" i="10" s="1"/>
  <c r="AR14" i="10"/>
  <c r="AS14" i="10"/>
  <c r="AS6" i="10"/>
  <c r="AT6" i="10" s="1"/>
  <c r="AU6" i="10" s="1"/>
  <c r="AV6" i="10" s="1"/>
  <c r="BW30" i="10"/>
  <c r="BY30" i="10" s="1"/>
  <c r="BZ30" i="10" s="1"/>
  <c r="CB30" i="10" s="1"/>
  <c r="AS29" i="10"/>
  <c r="AT29" i="10" s="1"/>
  <c r="AU29" i="10" s="1"/>
  <c r="AS13" i="10"/>
  <c r="AT13" i="10" s="1"/>
  <c r="AU13" i="10" s="1"/>
  <c r="AW13" i="10" s="1"/>
  <c r="AR4" i="10"/>
  <c r="AS4" i="10"/>
  <c r="BW7" i="10"/>
  <c r="BY7" i="10" s="1"/>
  <c r="BZ7" i="10" s="1"/>
  <c r="BW18" i="10"/>
  <c r="BY18" i="10" s="1"/>
  <c r="BZ18" i="10" s="1"/>
  <c r="AR9" i="10"/>
  <c r="AT9" i="10" s="1"/>
  <c r="AU9" i="10" s="1"/>
  <c r="AR22" i="10"/>
  <c r="AS22" i="10"/>
  <c r="BX22" i="10"/>
  <c r="BW22" i="10"/>
  <c r="J8" i="10"/>
  <c r="K8" i="10" s="1"/>
  <c r="L8" i="10" s="1"/>
  <c r="H18" i="11" s="1"/>
  <c r="I18" i="11" s="1"/>
  <c r="J5" i="10"/>
  <c r="K5" i="10" s="1"/>
  <c r="L5" i="10" s="1"/>
  <c r="H15" i="11" s="1"/>
  <c r="I15" i="11" s="1"/>
  <c r="J19" i="10"/>
  <c r="K19" i="10" s="1"/>
  <c r="L19" i="10" s="1"/>
  <c r="H29" i="11" s="1"/>
  <c r="I29" i="11" s="1"/>
  <c r="J3" i="10"/>
  <c r="K3" i="10" s="1"/>
  <c r="L3" i="10" s="1"/>
  <c r="H13" i="11" s="1"/>
  <c r="I13" i="11" s="1"/>
  <c r="J22" i="10"/>
  <c r="K22" i="10" s="1"/>
  <c r="L22" i="10" s="1"/>
  <c r="H32" i="11" s="1"/>
  <c r="I32" i="11" s="1"/>
  <c r="J27" i="10"/>
  <c r="K27" i="10" s="1"/>
  <c r="L27" i="10" s="1"/>
  <c r="H37" i="11" s="1"/>
  <c r="I37" i="11" s="1"/>
  <c r="J24" i="10"/>
  <c r="K24" i="10" s="1"/>
  <c r="L24" i="10" s="1"/>
  <c r="H34" i="11" s="1"/>
  <c r="I34" i="11" s="1"/>
  <c r="J28" i="10"/>
  <c r="K28" i="10" s="1"/>
  <c r="L28" i="10" s="1"/>
  <c r="H38" i="11" s="1"/>
  <c r="I38" i="11" s="1"/>
  <c r="J23" i="10"/>
  <c r="K23" i="10" s="1"/>
  <c r="L23" i="10" s="1"/>
  <c r="H33" i="11" s="1"/>
  <c r="I33" i="11" s="1"/>
  <c r="J30" i="10"/>
  <c r="K30" i="10" s="1"/>
  <c r="L30" i="10" s="1"/>
  <c r="H40" i="11" s="1"/>
  <c r="I40" i="11" s="1"/>
  <c r="J4" i="10"/>
  <c r="K4" i="10" s="1"/>
  <c r="L4" i="10" s="1"/>
  <c r="H14" i="11" s="1"/>
  <c r="I14" i="11" s="1"/>
  <c r="J15" i="10"/>
  <c r="K15" i="10" s="1"/>
  <c r="L15" i="10" s="1"/>
  <c r="H25" i="11" s="1"/>
  <c r="I25" i="11" s="1"/>
  <c r="J29" i="10"/>
  <c r="K29" i="10" s="1"/>
  <c r="L29" i="10" s="1"/>
  <c r="H39" i="11" s="1"/>
  <c r="I39" i="11" s="1"/>
  <c r="J18" i="10"/>
  <c r="K18" i="10" s="1"/>
  <c r="L18" i="10" s="1"/>
  <c r="H28" i="11" s="1"/>
  <c r="I28" i="11" s="1"/>
  <c r="J10" i="10"/>
  <c r="K10" i="10" s="1"/>
  <c r="L10" i="10" s="1"/>
  <c r="H20" i="11" s="1"/>
  <c r="I20" i="11" s="1"/>
  <c r="J25" i="10"/>
  <c r="K25" i="10" s="1"/>
  <c r="L25" i="10" s="1"/>
  <c r="H35" i="11" s="1"/>
  <c r="I35" i="11" s="1"/>
  <c r="J7" i="10"/>
  <c r="K7" i="10" s="1"/>
  <c r="L7" i="10" s="1"/>
  <c r="H17" i="11" s="1"/>
  <c r="I17" i="11" s="1"/>
  <c r="BX10" i="10"/>
  <c r="BW10" i="10"/>
  <c r="AR28" i="10"/>
  <c r="AS28" i="10"/>
  <c r="BX8" i="10"/>
  <c r="BW8" i="10"/>
  <c r="AS20" i="10"/>
  <c r="AR20" i="10"/>
  <c r="BX14" i="10"/>
  <c r="BW14" i="10"/>
  <c r="J13" i="10"/>
  <c r="K13" i="10" s="1"/>
  <c r="L13" i="10" s="1"/>
  <c r="H23" i="11" s="1"/>
  <c r="I23" i="11" s="1"/>
  <c r="AS8" i="10"/>
  <c r="AR8" i="10"/>
  <c r="J12" i="10"/>
  <c r="K12" i="10" s="1"/>
  <c r="L12" i="10" s="1"/>
  <c r="H22" i="11" s="1"/>
  <c r="I22" i="11" s="1"/>
  <c r="BV21" i="10"/>
  <c r="AQ16" i="10"/>
  <c r="AQ26" i="10"/>
  <c r="BV11" i="10"/>
  <c r="BV31" i="10"/>
  <c r="AI27" i="4"/>
  <c r="AI26" i="4"/>
  <c r="AI25" i="4"/>
  <c r="AI24" i="4"/>
  <c r="AI23" i="4"/>
  <c r="AI22" i="4"/>
  <c r="AI21" i="4"/>
  <c r="AI20" i="4"/>
  <c r="AI19" i="4"/>
  <c r="AI18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5" i="4"/>
  <c r="AI4" i="4"/>
  <c r="X27" i="4"/>
  <c r="X26" i="4"/>
  <c r="X25" i="4"/>
  <c r="X24" i="4"/>
  <c r="X23" i="4"/>
  <c r="X22" i="4"/>
  <c r="X21" i="4"/>
  <c r="X20" i="4"/>
  <c r="X19" i="4"/>
  <c r="X18" i="4"/>
  <c r="X17" i="4"/>
  <c r="X16" i="4"/>
  <c r="X15" i="4"/>
  <c r="X14" i="4"/>
  <c r="X13" i="4"/>
  <c r="X12" i="4"/>
  <c r="X11" i="4"/>
  <c r="X10" i="4"/>
  <c r="X9" i="4"/>
  <c r="X8" i="4"/>
  <c r="X7" i="4"/>
  <c r="X6" i="4"/>
  <c r="X5" i="4"/>
  <c r="X4" i="4"/>
  <c r="F6" i="9"/>
  <c r="E6" i="9"/>
  <c r="D6" i="9"/>
  <c r="C6" i="9"/>
  <c r="B6" i="9"/>
  <c r="F5" i="9"/>
  <c r="E5" i="9"/>
  <c r="D5" i="9"/>
  <c r="C5" i="9"/>
  <c r="B5" i="9"/>
  <c r="F4" i="9"/>
  <c r="E4" i="9"/>
  <c r="D4" i="9"/>
  <c r="C4" i="9"/>
  <c r="B4" i="9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4" i="4"/>
  <c r="CA13" i="10" l="1"/>
  <c r="CC13" i="10" s="1"/>
  <c r="CD13" i="10" s="1"/>
  <c r="G9" i="9" a="1"/>
  <c r="G23" i="11"/>
  <c r="F56" i="11" s="1"/>
  <c r="G39" i="11"/>
  <c r="F72" i="11" s="1"/>
  <c r="G32" i="11"/>
  <c r="F65" i="11" s="1"/>
  <c r="G18" i="11"/>
  <c r="F51" i="11" s="1"/>
  <c r="G35" i="11"/>
  <c r="F68" i="11" s="1"/>
  <c r="G38" i="11"/>
  <c r="F71" i="11" s="1"/>
  <c r="G21" i="11"/>
  <c r="F54" i="11" s="1"/>
  <c r="G20" i="11"/>
  <c r="F53" i="11" s="1"/>
  <c r="G14" i="11"/>
  <c r="F47" i="11" s="1"/>
  <c r="G34" i="11"/>
  <c r="F67" i="11" s="1"/>
  <c r="G29" i="11"/>
  <c r="F62" i="11" s="1"/>
  <c r="G16" i="11"/>
  <c r="F49" i="11" s="1"/>
  <c r="M21" i="11"/>
  <c r="G54" i="11" s="1"/>
  <c r="G17" i="11"/>
  <c r="F50" i="11" s="1"/>
  <c r="G33" i="11"/>
  <c r="F66" i="11" s="1"/>
  <c r="M41" i="11"/>
  <c r="G74" i="11" s="1"/>
  <c r="G22" i="11"/>
  <c r="F55" i="11" s="1"/>
  <c r="G25" i="11"/>
  <c r="F58" i="11" s="1"/>
  <c r="G13" i="11"/>
  <c r="F46" i="11" s="1"/>
  <c r="M31" i="11"/>
  <c r="G64" i="11" s="1"/>
  <c r="G28" i="11"/>
  <c r="F61" i="11" s="1"/>
  <c r="G40" i="11"/>
  <c r="F73" i="11" s="1"/>
  <c r="G37" i="11"/>
  <c r="F70" i="11" s="1"/>
  <c r="G15" i="11"/>
  <c r="F48" i="11" s="1"/>
  <c r="M16" i="11"/>
  <c r="G49" i="11" s="1"/>
  <c r="G31" i="11"/>
  <c r="F64" i="11" s="1"/>
  <c r="G41" i="11"/>
  <c r="F74" i="11" s="1"/>
  <c r="BX26" i="10"/>
  <c r="BY26" i="10" s="1"/>
  <c r="BZ26" i="10" s="1"/>
  <c r="CB26" i="10" s="1"/>
  <c r="AW17" i="10"/>
  <c r="AX17" i="10" s="1"/>
  <c r="AY17" i="10" s="1"/>
  <c r="AZ17" i="10" s="1"/>
  <c r="CB6" i="10"/>
  <c r="CC6" i="10" s="1"/>
  <c r="CD6" i="10" s="1"/>
  <c r="AR11" i="10"/>
  <c r="AT11" i="10" s="1"/>
  <c r="AU11" i="10" s="1"/>
  <c r="AW11" i="10" s="1"/>
  <c r="AR31" i="10"/>
  <c r="AT31" i="10" s="1"/>
  <c r="AU31" i="10" s="1"/>
  <c r="AV31" i="10" s="1"/>
  <c r="CB24" i="10"/>
  <c r="CC24" i="10" s="1"/>
  <c r="CD24" i="10" s="1"/>
  <c r="CE24" i="10" s="1"/>
  <c r="AV7" i="10"/>
  <c r="AX7" i="10" s="1"/>
  <c r="AY7" i="10" s="1"/>
  <c r="BA7" i="10" s="1"/>
  <c r="AS15" i="10"/>
  <c r="AT15" i="10" s="1"/>
  <c r="AU15" i="10" s="1"/>
  <c r="AV15" i="10" s="1"/>
  <c r="AS21" i="10"/>
  <c r="AT21" i="10" s="1"/>
  <c r="AU21" i="10" s="1"/>
  <c r="AW21" i="10" s="1"/>
  <c r="CA19" i="10"/>
  <c r="CC19" i="10" s="1"/>
  <c r="CD19" i="10" s="1"/>
  <c r="CF19" i="10" s="1"/>
  <c r="BY15" i="10"/>
  <c r="BZ15" i="10" s="1"/>
  <c r="CA15" i="10" s="1"/>
  <c r="BX20" i="10"/>
  <c r="BY20" i="10" s="1"/>
  <c r="BZ20" i="10" s="1"/>
  <c r="BW11" i="10"/>
  <c r="BX11" i="10"/>
  <c r="BX31" i="10"/>
  <c r="BW31" i="10"/>
  <c r="D16" i="10"/>
  <c r="E16" i="10" s="1"/>
  <c r="F16" i="10" s="1"/>
  <c r="G16" i="10" s="1"/>
  <c r="H16" i="10" s="1"/>
  <c r="I16" i="10" s="1"/>
  <c r="J16" i="10" s="1"/>
  <c r="K16" i="10" s="1"/>
  <c r="L16" i="10" s="1"/>
  <c r="H26" i="11" s="1"/>
  <c r="I26" i="11" s="1"/>
  <c r="BW21" i="10"/>
  <c r="BX21" i="10"/>
  <c r="B28" i="4" a="1"/>
  <c r="B28" i="4" s="1"/>
  <c r="G10" i="9" a="1"/>
  <c r="AI28" i="4" a="1"/>
  <c r="AI28" i="4" s="1"/>
  <c r="AD16" i="10"/>
  <c r="AE16" i="10" s="1"/>
  <c r="AF16" i="10" s="1"/>
  <c r="AG16" i="10" s="1"/>
  <c r="AH16" i="10" s="1"/>
  <c r="AI16" i="10" s="1"/>
  <c r="N26" i="11" s="1"/>
  <c r="O26" i="11" s="1"/>
  <c r="X28" i="4" a="1"/>
  <c r="X28" i="4" s="1"/>
  <c r="CA29" i="10"/>
  <c r="CC29" i="10" s="1"/>
  <c r="CD29" i="10" s="1"/>
  <c r="CE29" i="10" s="1"/>
  <c r="AS25" i="10"/>
  <c r="AT25" i="10" s="1"/>
  <c r="AU25" i="10" s="1"/>
  <c r="AW25" i="10" s="1"/>
  <c r="CB27" i="10"/>
  <c r="CC27" i="10" s="1"/>
  <c r="CD27" i="10" s="1"/>
  <c r="CE27" i="10" s="1"/>
  <c r="CA30" i="10"/>
  <c r="CC30" i="10" s="1"/>
  <c r="CD30" i="10" s="1"/>
  <c r="CA9" i="10"/>
  <c r="CB9" i="10"/>
  <c r="AT14" i="10"/>
  <c r="AU14" i="10" s="1"/>
  <c r="AV14" i="10" s="1"/>
  <c r="BY16" i="10"/>
  <c r="BZ16" i="10" s="1"/>
  <c r="CA16" i="10" s="1"/>
  <c r="AR26" i="10"/>
  <c r="AS26" i="10"/>
  <c r="AS16" i="10"/>
  <c r="AR16" i="10"/>
  <c r="AW6" i="10"/>
  <c r="AX6" i="10" s="1"/>
  <c r="AY6" i="10" s="1"/>
  <c r="AT4" i="10"/>
  <c r="AU4" i="10" s="1"/>
  <c r="AV4" i="10" s="1"/>
  <c r="AV9" i="10"/>
  <c r="AW9" i="10"/>
  <c r="CA7" i="10"/>
  <c r="CB7" i="10"/>
  <c r="AV13" i="10"/>
  <c r="AX13" i="10" s="1"/>
  <c r="AY13" i="10" s="1"/>
  <c r="AV3" i="10"/>
  <c r="AX3" i="10" s="1"/>
  <c r="AY3" i="10" s="1"/>
  <c r="BA3" i="10" s="1"/>
  <c r="CB4" i="10"/>
  <c r="CC4" i="10" s="1"/>
  <c r="CD4" i="10" s="1"/>
  <c r="CF4" i="10" s="1"/>
  <c r="BY22" i="10"/>
  <c r="BZ22" i="10" s="1"/>
  <c r="AT22" i="10"/>
  <c r="AU22" i="10" s="1"/>
  <c r="BA23" i="10"/>
  <c r="BB23" i="10" s="1"/>
  <c r="BC23" i="10" s="1"/>
  <c r="AT28" i="10"/>
  <c r="AU28" i="10" s="1"/>
  <c r="AV28" i="10" s="1"/>
  <c r="BY10" i="10"/>
  <c r="BZ10" i="10" s="1"/>
  <c r="CB10" i="10" s="1"/>
  <c r="AV24" i="10"/>
  <c r="AW24" i="10"/>
  <c r="CB5" i="10"/>
  <c r="CA5" i="10"/>
  <c r="AV5" i="10"/>
  <c r="AW5" i="10"/>
  <c r="AT8" i="10"/>
  <c r="AU8" i="10" s="1"/>
  <c r="AT20" i="10"/>
  <c r="AU20" i="10" s="1"/>
  <c r="CB12" i="10"/>
  <c r="CA12" i="10"/>
  <c r="AW10" i="10"/>
  <c r="AV10" i="10"/>
  <c r="CA28" i="10"/>
  <c r="CB28" i="10"/>
  <c r="AW19" i="10"/>
  <c r="AV19" i="10"/>
  <c r="AV30" i="10"/>
  <c r="AW30" i="10"/>
  <c r="CA25" i="10"/>
  <c r="CB25" i="10"/>
  <c r="CA23" i="10"/>
  <c r="CB23" i="10"/>
  <c r="CA3" i="10"/>
  <c r="CB3" i="10"/>
  <c r="AV29" i="10"/>
  <c r="AW29" i="10"/>
  <c r="CB17" i="10"/>
  <c r="CA17" i="10"/>
  <c r="BY14" i="10"/>
  <c r="BZ14" i="10" s="1"/>
  <c r="BY8" i="10"/>
  <c r="BZ8" i="10" s="1"/>
  <c r="AW27" i="10"/>
  <c r="AV27" i="10"/>
  <c r="CB18" i="10"/>
  <c r="CA18" i="10"/>
  <c r="AW12" i="10"/>
  <c r="AV12" i="10"/>
  <c r="AW18" i="10"/>
  <c r="AV18" i="10"/>
  <c r="G10" i="9"/>
  <c r="J10" i="9"/>
  <c r="H10" i="9"/>
  <c r="G9" i="9"/>
  <c r="H9" i="9"/>
  <c r="J9" i="9"/>
  <c r="G29" i="9" a="1"/>
  <c r="H29" i="9" s="1"/>
  <c r="G25" i="9" a="1"/>
  <c r="G25" i="9" s="1"/>
  <c r="G21" i="9" a="1"/>
  <c r="G21" i="9" s="1"/>
  <c r="G17" i="9" a="1"/>
  <c r="G17" i="9" s="1"/>
  <c r="G13" i="9" a="1"/>
  <c r="K13" i="9" s="1"/>
  <c r="G31" i="9" a="1"/>
  <c r="H31" i="9" s="1"/>
  <c r="G27" i="9" a="1"/>
  <c r="G27" i="9" s="1"/>
  <c r="G23" i="9" a="1"/>
  <c r="G23" i="9" s="1"/>
  <c r="G19" i="9" a="1"/>
  <c r="G19" i="9" s="1"/>
  <c r="G15" i="9" a="1"/>
  <c r="G15" i="9" s="1"/>
  <c r="G11" i="9" a="1"/>
  <c r="I11" i="9" s="1"/>
  <c r="G8" i="9" a="1"/>
  <c r="G30" i="9" a="1"/>
  <c r="G30" i="9" s="1"/>
  <c r="G26" i="9" a="1"/>
  <c r="H26" i="9" s="1"/>
  <c r="G22" i="9" a="1"/>
  <c r="G22" i="9" s="1"/>
  <c r="G18" i="9" a="1"/>
  <c r="H18" i="9" s="1"/>
  <c r="G12" i="9" a="1"/>
  <c r="I12" i="9" s="1"/>
  <c r="G7" i="9" a="1"/>
  <c r="G7" i="9" s="1"/>
  <c r="G28" i="9" a="1"/>
  <c r="G28" i="9" s="1"/>
  <c r="G24" i="9" a="1"/>
  <c r="H24" i="9" s="1"/>
  <c r="G20" i="9" a="1"/>
  <c r="H20" i="9" s="1"/>
  <c r="G16" i="9" a="1"/>
  <c r="H16" i="9" s="1"/>
  <c r="G14" i="9" a="1"/>
  <c r="K14" i="9" s="1"/>
  <c r="BE10" i="4"/>
  <c r="BE18" i="4"/>
  <c r="BE26" i="4"/>
  <c r="BE6" i="4"/>
  <c r="BE14" i="4"/>
  <c r="BE22" i="4"/>
  <c r="J21" i="9"/>
  <c r="H21" i="9"/>
  <c r="J17" i="9"/>
  <c r="H17" i="9"/>
  <c r="K21" i="9"/>
  <c r="I21" i="9"/>
  <c r="K17" i="9"/>
  <c r="I17" i="9"/>
  <c r="K10" i="9"/>
  <c r="I10" i="9"/>
  <c r="K9" i="9"/>
  <c r="I9" i="9"/>
  <c r="AT10" i="4"/>
  <c r="AT18" i="4"/>
  <c r="AT26" i="4"/>
  <c r="AT6" i="4"/>
  <c r="AT14" i="4"/>
  <c r="AT22" i="4"/>
  <c r="H27" i="9"/>
  <c r="H30" i="9"/>
  <c r="J23" i="9"/>
  <c r="H23" i="9"/>
  <c r="I27" i="9"/>
  <c r="G26" i="9"/>
  <c r="K24" i="9"/>
  <c r="I24" i="9"/>
  <c r="G24" i="9"/>
  <c r="K23" i="9"/>
  <c r="J24" i="9"/>
  <c r="M14" i="4"/>
  <c r="M18" i="4"/>
  <c r="M22" i="4"/>
  <c r="M10" i="4"/>
  <c r="M26" i="4"/>
  <c r="M6" i="4"/>
  <c r="K18" i="9" l="1"/>
  <c r="J18" i="9"/>
  <c r="H19" i="9"/>
  <c r="I18" i="9"/>
  <c r="J26" i="9"/>
  <c r="K29" i="9"/>
  <c r="I23" i="9"/>
  <c r="G31" i="9"/>
  <c r="K12" i="9"/>
  <c r="K15" i="9"/>
  <c r="G18" i="9"/>
  <c r="J22" i="9"/>
  <c r="I22" i="9"/>
  <c r="I28" i="9"/>
  <c r="K11" i="9"/>
  <c r="H28" i="9"/>
  <c r="CA26" i="10"/>
  <c r="CC26" i="10" s="1"/>
  <c r="CD26" i="10" s="1"/>
  <c r="M26" i="11"/>
  <c r="G59" i="11" s="1"/>
  <c r="G26" i="11"/>
  <c r="F59" i="11" s="1"/>
  <c r="BA17" i="10"/>
  <c r="BB17" i="10" s="1"/>
  <c r="BC17" i="10" s="1"/>
  <c r="BD17" i="10" s="1"/>
  <c r="CB15" i="10"/>
  <c r="CC15" i="10" s="1"/>
  <c r="CD15" i="10" s="1"/>
  <c r="CE15" i="10" s="1"/>
  <c r="BY21" i="10"/>
  <c r="BZ21" i="10" s="1"/>
  <c r="CA21" i="10" s="1"/>
  <c r="BY31" i="10"/>
  <c r="BZ31" i="10" s="1"/>
  <c r="CB31" i="10" s="1"/>
  <c r="AZ7" i="10"/>
  <c r="BB7" i="10" s="1"/>
  <c r="BC7" i="10" s="1"/>
  <c r="BE7" i="10" s="1"/>
  <c r="G20" i="9"/>
  <c r="H7" i="9"/>
  <c r="J29" i="9"/>
  <c r="K28" i="9"/>
  <c r="I30" i="9"/>
  <c r="J30" i="9"/>
  <c r="I13" i="9"/>
  <c r="I20" i="9"/>
  <c r="H22" i="9"/>
  <c r="J19" i="9"/>
  <c r="CB20" i="10"/>
  <c r="CA20" i="10"/>
  <c r="G29" i="9"/>
  <c r="K30" i="9"/>
  <c r="I19" i="9"/>
  <c r="K20" i="9"/>
  <c r="K22" i="9"/>
  <c r="K27" i="9"/>
  <c r="I29" i="9"/>
  <c r="J28" i="9"/>
  <c r="J27" i="9"/>
  <c r="J20" i="9"/>
  <c r="I14" i="9"/>
  <c r="K19" i="9"/>
  <c r="BY11" i="10"/>
  <c r="BZ11" i="10" s="1"/>
  <c r="AW31" i="10"/>
  <c r="AX31" i="10" s="1"/>
  <c r="AY31" i="10" s="1"/>
  <c r="BA31" i="10" s="1"/>
  <c r="CE19" i="10"/>
  <c r="CG19" i="10" s="1"/>
  <c r="CH19" i="10" s="1"/>
  <c r="AX9" i="10"/>
  <c r="AY9" i="10" s="1"/>
  <c r="BA9" i="10" s="1"/>
  <c r="CF30" i="10"/>
  <c r="CE30" i="10"/>
  <c r="CC9" i="10"/>
  <c r="CD9" i="10" s="1"/>
  <c r="CF9" i="10" s="1"/>
  <c r="AV25" i="10"/>
  <c r="AX25" i="10" s="1"/>
  <c r="AY25" i="10" s="1"/>
  <c r="AZ25" i="10" s="1"/>
  <c r="CF27" i="10"/>
  <c r="CG27" i="10" s="1"/>
  <c r="CH27" i="10" s="1"/>
  <c r="AV21" i="10"/>
  <c r="AX21" i="10" s="1"/>
  <c r="AY21" i="10" s="1"/>
  <c r="AZ21" i="10" s="1"/>
  <c r="AW14" i="10"/>
  <c r="AX14" i="10" s="1"/>
  <c r="AY14" i="10" s="1"/>
  <c r="BA14" i="10" s="1"/>
  <c r="AV11" i="10"/>
  <c r="AX11" i="10" s="1"/>
  <c r="AY11" i="10" s="1"/>
  <c r="AZ11" i="10" s="1"/>
  <c r="CB16" i="10"/>
  <c r="CC16" i="10" s="1"/>
  <c r="CD16" i="10" s="1"/>
  <c r="CE16" i="10" s="1"/>
  <c r="AW15" i="10"/>
  <c r="AX15" i="10" s="1"/>
  <c r="AY15" i="10" s="1"/>
  <c r="AT26" i="10"/>
  <c r="AU26" i="10" s="1"/>
  <c r="AT16" i="10"/>
  <c r="AU16" i="10" s="1"/>
  <c r="AW16" i="10" s="1"/>
  <c r="AW4" i="10"/>
  <c r="AX4" i="10" s="1"/>
  <c r="AY4" i="10" s="1"/>
  <c r="AZ4" i="10" s="1"/>
  <c r="CF29" i="10"/>
  <c r="CG29" i="10" s="1"/>
  <c r="CH29" i="10" s="1"/>
  <c r="CJ29" i="10" s="1"/>
  <c r="CC7" i="10"/>
  <c r="CD7" i="10" s="1"/>
  <c r="CF7" i="10" s="1"/>
  <c r="AW28" i="10"/>
  <c r="AX28" i="10" s="1"/>
  <c r="AY28" i="10" s="1"/>
  <c r="AZ28" i="10" s="1"/>
  <c r="CF24" i="10"/>
  <c r="CG24" i="10" s="1"/>
  <c r="CH24" i="10" s="1"/>
  <c r="CI24" i="10" s="1"/>
  <c r="CC5" i="10"/>
  <c r="CD5" i="10" s="1"/>
  <c r="CE5" i="10" s="1"/>
  <c r="CE4" i="10"/>
  <c r="CG4" i="10" s="1"/>
  <c r="CH4" i="10" s="1"/>
  <c r="CI4" i="10" s="1"/>
  <c r="CA22" i="10"/>
  <c r="CB22" i="10"/>
  <c r="AV22" i="10"/>
  <c r="AW22" i="10"/>
  <c r="CA10" i="10"/>
  <c r="CC10" i="10" s="1"/>
  <c r="CD10" i="10" s="1"/>
  <c r="CC28" i="10"/>
  <c r="CD28" i="10" s="1"/>
  <c r="CE28" i="10" s="1"/>
  <c r="AZ3" i="10"/>
  <c r="BB3" i="10" s="1"/>
  <c r="BC3" i="10" s="1"/>
  <c r="BE3" i="10" s="1"/>
  <c r="AX29" i="10"/>
  <c r="AY29" i="10" s="1"/>
  <c r="AZ29" i="10" s="1"/>
  <c r="CC3" i="10"/>
  <c r="CD3" i="10" s="1"/>
  <c r="CF3" i="10" s="1"/>
  <c r="CC25" i="10"/>
  <c r="CD25" i="10" s="1"/>
  <c r="CE25" i="10" s="1"/>
  <c r="AX30" i="10"/>
  <c r="AY30" i="10" s="1"/>
  <c r="AZ30" i="10" s="1"/>
  <c r="CC23" i="10"/>
  <c r="CD23" i="10" s="1"/>
  <c r="CE23" i="10" s="1"/>
  <c r="CF6" i="10"/>
  <c r="CE6" i="10"/>
  <c r="BA13" i="10"/>
  <c r="AZ13" i="10"/>
  <c r="AX18" i="10"/>
  <c r="AY18" i="10" s="1"/>
  <c r="CC18" i="10"/>
  <c r="CD18" i="10" s="1"/>
  <c r="CA14" i="10"/>
  <c r="CB14" i="10"/>
  <c r="CC17" i="10"/>
  <c r="CD17" i="10" s="1"/>
  <c r="AX10" i="10"/>
  <c r="AY10" i="10" s="1"/>
  <c r="BD23" i="10"/>
  <c r="BE23" i="10"/>
  <c r="CF13" i="10"/>
  <c r="CE13" i="10"/>
  <c r="AX5" i="10"/>
  <c r="AY5" i="10" s="1"/>
  <c r="AX24" i="10"/>
  <c r="AY24" i="10" s="1"/>
  <c r="BA6" i="10"/>
  <c r="AZ6" i="10"/>
  <c r="AW8" i="10"/>
  <c r="AV8" i="10"/>
  <c r="CB8" i="10"/>
  <c r="CA8" i="10"/>
  <c r="AX12" i="10"/>
  <c r="AY12" i="10" s="1"/>
  <c r="AX27" i="10"/>
  <c r="AY27" i="10" s="1"/>
  <c r="AX19" i="10"/>
  <c r="AY19" i="10" s="1"/>
  <c r="CC12" i="10"/>
  <c r="CD12" i="10" s="1"/>
  <c r="AW20" i="10"/>
  <c r="AV20" i="10"/>
  <c r="J7" i="9"/>
  <c r="G12" i="9"/>
  <c r="J12" i="9"/>
  <c r="H12" i="9"/>
  <c r="G13" i="9"/>
  <c r="H13" i="9"/>
  <c r="J13" i="9"/>
  <c r="I26" i="9"/>
  <c r="I31" i="9"/>
  <c r="H25" i="9"/>
  <c r="G16" i="9"/>
  <c r="H15" i="9"/>
  <c r="I7" i="9"/>
  <c r="J31" i="9"/>
  <c r="I25" i="9"/>
  <c r="K26" i="9"/>
  <c r="K31" i="9"/>
  <c r="J25" i="9"/>
  <c r="I16" i="9"/>
  <c r="J15" i="9"/>
  <c r="G8" i="9"/>
  <c r="K8" i="9"/>
  <c r="I8" i="9"/>
  <c r="J8" i="9"/>
  <c r="H8" i="9"/>
  <c r="K7" i="9"/>
  <c r="K25" i="9"/>
  <c r="J16" i="9"/>
  <c r="I15" i="9"/>
  <c r="K16" i="9"/>
  <c r="G14" i="9"/>
  <c r="J14" i="9"/>
  <c r="H14" i="9"/>
  <c r="G11" i="9"/>
  <c r="H11" i="9"/>
  <c r="J11" i="9"/>
  <c r="BE24" i="4"/>
  <c r="BE20" i="4"/>
  <c r="BE16" i="4"/>
  <c r="BE12" i="4"/>
  <c r="BE8" i="4"/>
  <c r="BE4" i="4"/>
  <c r="BE27" i="4"/>
  <c r="BE25" i="4"/>
  <c r="BE23" i="4"/>
  <c r="BE21" i="4"/>
  <c r="BE19" i="4"/>
  <c r="BE17" i="4"/>
  <c r="BE15" i="4"/>
  <c r="BE13" i="4"/>
  <c r="BE11" i="4"/>
  <c r="BE9" i="4"/>
  <c r="BE7" i="4"/>
  <c r="BE5" i="4"/>
  <c r="AT24" i="4"/>
  <c r="AT20" i="4"/>
  <c r="AT16" i="4"/>
  <c r="AT12" i="4"/>
  <c r="AT8" i="4"/>
  <c r="AT4" i="4"/>
  <c r="AT27" i="4"/>
  <c r="AT25" i="4"/>
  <c r="AT23" i="4"/>
  <c r="AT21" i="4"/>
  <c r="AT19" i="4"/>
  <c r="AT17" i="4"/>
  <c r="AT15" i="4"/>
  <c r="AT13" i="4"/>
  <c r="AT11" i="4"/>
  <c r="AT9" i="4"/>
  <c r="AT7" i="4"/>
  <c r="AT5" i="4"/>
  <c r="M4" i="4"/>
  <c r="M24" i="4"/>
  <c r="M20" i="4"/>
  <c r="M16" i="4"/>
  <c r="M12" i="4"/>
  <c r="M8" i="4"/>
  <c r="M11" i="4"/>
  <c r="M7" i="4"/>
  <c r="M27" i="4"/>
  <c r="M25" i="4"/>
  <c r="M23" i="4"/>
  <c r="M21" i="4"/>
  <c r="M19" i="4"/>
  <c r="M17" i="4"/>
  <c r="M15" i="4"/>
  <c r="M13" i="4"/>
  <c r="M9" i="4"/>
  <c r="M5" i="4"/>
  <c r="CF15" i="10" l="1"/>
  <c r="CG15" i="10" s="1"/>
  <c r="CH15" i="10" s="1"/>
  <c r="CI15" i="10" s="1"/>
  <c r="BE17" i="10"/>
  <c r="BF17" i="10" s="1"/>
  <c r="BG17" i="10" s="1"/>
  <c r="CB21" i="10"/>
  <c r="CC21" i="10" s="1"/>
  <c r="CD21" i="10" s="1"/>
  <c r="BD7" i="10"/>
  <c r="BF7" i="10" s="1"/>
  <c r="BG7" i="10" s="1"/>
  <c r="BI7" i="10" s="1"/>
  <c r="CA31" i="10"/>
  <c r="CC31" i="10" s="1"/>
  <c r="CD31" i="10" s="1"/>
  <c r="BA30" i="10"/>
  <c r="BB30" i="10" s="1"/>
  <c r="BC30" i="10" s="1"/>
  <c r="CC20" i="10"/>
  <c r="CD20" i="10" s="1"/>
  <c r="CE20" i="10" s="1"/>
  <c r="CB11" i="10"/>
  <c r="CA11" i="10"/>
  <c r="CF25" i="10"/>
  <c r="CG25" i="10" s="1"/>
  <c r="CH25" i="10" s="1"/>
  <c r="CG30" i="10"/>
  <c r="CH30" i="10" s="1"/>
  <c r="CJ30" i="10" s="1"/>
  <c r="AZ9" i="10"/>
  <c r="BB9" i="10" s="1"/>
  <c r="BC9" i="10" s="1"/>
  <c r="BD9" i="10" s="1"/>
  <c r="CE9" i="10"/>
  <c r="CG9" i="10" s="1"/>
  <c r="CH9" i="10" s="1"/>
  <c r="CI9" i="10" s="1"/>
  <c r="CE7" i="10"/>
  <c r="CG7" i="10" s="1"/>
  <c r="CH7" i="10" s="1"/>
  <c r="CJ7" i="10" s="1"/>
  <c r="CF5" i="10"/>
  <c r="CG5" i="10" s="1"/>
  <c r="CH5" i="10" s="1"/>
  <c r="CJ5" i="10" s="1"/>
  <c r="BA21" i="10"/>
  <c r="BB21" i="10" s="1"/>
  <c r="BC21" i="10" s="1"/>
  <c r="BD21" i="10" s="1"/>
  <c r="CF28" i="10"/>
  <c r="CG28" i="10" s="1"/>
  <c r="CH28" i="10" s="1"/>
  <c r="CF16" i="10"/>
  <c r="CG16" i="10" s="1"/>
  <c r="CH16" i="10" s="1"/>
  <c r="CI16" i="10" s="1"/>
  <c r="CI29" i="10"/>
  <c r="CK29" i="10" s="1"/>
  <c r="CL29" i="10" s="1"/>
  <c r="BA11" i="10"/>
  <c r="BB11" i="10" s="1"/>
  <c r="BC11" i="10" s="1"/>
  <c r="BE11" i="10" s="1"/>
  <c r="BA25" i="10"/>
  <c r="BB25" i="10" s="1"/>
  <c r="BC25" i="10" s="1"/>
  <c r="BA28" i="10"/>
  <c r="BB28" i="10" s="1"/>
  <c r="BC28" i="10" s="1"/>
  <c r="AZ31" i="10"/>
  <c r="BB31" i="10" s="1"/>
  <c r="BC31" i="10" s="1"/>
  <c r="BD31" i="10" s="1"/>
  <c r="AW26" i="10"/>
  <c r="AV26" i="10"/>
  <c r="AV16" i="10"/>
  <c r="AX16" i="10" s="1"/>
  <c r="AY16" i="10" s="1"/>
  <c r="AZ16" i="10" s="1"/>
  <c r="AZ14" i="10"/>
  <c r="BB14" i="10" s="1"/>
  <c r="BC14" i="10" s="1"/>
  <c r="CJ4" i="10"/>
  <c r="CK4" i="10" s="1"/>
  <c r="CL4" i="10" s="1"/>
  <c r="BA29" i="10"/>
  <c r="BB29" i="10" s="1"/>
  <c r="BC29" i="10" s="1"/>
  <c r="CF23" i="10"/>
  <c r="CG23" i="10" s="1"/>
  <c r="CH23" i="10" s="1"/>
  <c r="AX22" i="10"/>
  <c r="AY22" i="10" s="1"/>
  <c r="AZ22" i="10" s="1"/>
  <c r="CC22" i="10"/>
  <c r="CD22" i="10" s="1"/>
  <c r="CE3" i="10"/>
  <c r="CG3" i="10" s="1"/>
  <c r="CH3" i="10" s="1"/>
  <c r="CJ24" i="10"/>
  <c r="CK24" i="10" s="1"/>
  <c r="CL24" i="10" s="1"/>
  <c r="BA4" i="10"/>
  <c r="BB4" i="10" s="1"/>
  <c r="BC4" i="10" s="1"/>
  <c r="CG6" i="10"/>
  <c r="CH6" i="10" s="1"/>
  <c r="CJ6" i="10" s="1"/>
  <c r="BD3" i="10"/>
  <c r="BF3" i="10" s="1"/>
  <c r="BG3" i="10" s="1"/>
  <c r="AX20" i="10"/>
  <c r="AY20" i="10" s="1"/>
  <c r="BA20" i="10" s="1"/>
  <c r="CC8" i="10"/>
  <c r="CD8" i="10" s="1"/>
  <c r="CE8" i="10" s="1"/>
  <c r="AX8" i="10"/>
  <c r="AY8" i="10" s="1"/>
  <c r="BA8" i="10" s="1"/>
  <c r="BB6" i="10"/>
  <c r="BC6" i="10" s="1"/>
  <c r="BE6" i="10" s="1"/>
  <c r="BB13" i="10"/>
  <c r="BC13" i="10" s="1"/>
  <c r="BD13" i="10" s="1"/>
  <c r="CG13" i="10"/>
  <c r="CH13" i="10" s="1"/>
  <c r="CI13" i="10" s="1"/>
  <c r="CF12" i="10"/>
  <c r="CE12" i="10"/>
  <c r="AZ27" i="10"/>
  <c r="BA27" i="10"/>
  <c r="CE26" i="10"/>
  <c r="CF26" i="10"/>
  <c r="BA10" i="10"/>
  <c r="AZ10" i="10"/>
  <c r="CC14" i="10"/>
  <c r="CD14" i="10" s="1"/>
  <c r="BA18" i="10"/>
  <c r="AZ18" i="10"/>
  <c r="AZ24" i="10"/>
  <c r="BA24" i="10"/>
  <c r="CF17" i="10"/>
  <c r="CE17" i="10"/>
  <c r="CI27" i="10"/>
  <c r="CJ27" i="10"/>
  <c r="BA12" i="10"/>
  <c r="AZ12" i="10"/>
  <c r="AZ5" i="10"/>
  <c r="BA5" i="10"/>
  <c r="BF23" i="10"/>
  <c r="BG23" i="10" s="1"/>
  <c r="CF18" i="10"/>
  <c r="CE18" i="10"/>
  <c r="BA15" i="10"/>
  <c r="AZ15" i="10"/>
  <c r="BA19" i="10"/>
  <c r="AZ19" i="10"/>
  <c r="CJ19" i="10"/>
  <c r="CI19" i="10"/>
  <c r="CF10" i="10"/>
  <c r="CE10" i="10"/>
  <c r="AT28" i="4" a="1"/>
  <c r="AT28" i="4" s="1"/>
  <c r="BE28" i="4" a="1"/>
  <c r="BE28" i="4" s="1"/>
  <c r="M28" i="4" a="1"/>
  <c r="M28" i="4" s="1"/>
  <c r="H9" i="7"/>
  <c r="H10" i="7"/>
  <c r="H11" i="7"/>
  <c r="H12" i="7"/>
  <c r="H8" i="7"/>
  <c r="I5" i="7"/>
  <c r="I4" i="7"/>
  <c r="J4" i="7" s="1"/>
  <c r="I3" i="7"/>
  <c r="I2" i="7"/>
  <c r="J2" i="7" s="1"/>
  <c r="I1" i="7"/>
  <c r="G2" i="7"/>
  <c r="G3" i="7"/>
  <c r="G4" i="7"/>
  <c r="G5" i="7"/>
  <c r="G8" i="7"/>
  <c r="G9" i="7"/>
  <c r="G10" i="7"/>
  <c r="G11" i="7"/>
  <c r="G12" i="7"/>
  <c r="G15" i="7"/>
  <c r="G16" i="7"/>
  <c r="G17" i="7"/>
  <c r="G18" i="7"/>
  <c r="G19" i="7"/>
  <c r="G1" i="7"/>
  <c r="J3" i="7" l="1"/>
  <c r="CE31" i="10"/>
  <c r="CF31" i="10"/>
  <c r="BE9" i="10"/>
  <c r="BF9" i="10" s="1"/>
  <c r="BG9" i="10" s="1"/>
  <c r="CF20" i="10"/>
  <c r="CG20" i="10" s="1"/>
  <c r="CH20" i="10" s="1"/>
  <c r="CJ20" i="10" s="1"/>
  <c r="CC11" i="10"/>
  <c r="CD11" i="10" s="1"/>
  <c r="CE11" i="10" s="1"/>
  <c r="CF21" i="10"/>
  <c r="CE21" i="10"/>
  <c r="J1" i="7"/>
  <c r="BE21" i="10"/>
  <c r="BF21" i="10" s="1"/>
  <c r="BG21" i="10" s="1"/>
  <c r="BH21" i="10" s="1"/>
  <c r="J5" i="7"/>
  <c r="CI30" i="10"/>
  <c r="CK30" i="10" s="1"/>
  <c r="CL30" i="10" s="1"/>
  <c r="CN30" i="10" s="1"/>
  <c r="BH7" i="10"/>
  <c r="BJ7" i="10" s="1"/>
  <c r="BK7" i="10" s="1"/>
  <c r="U17" i="11" s="1"/>
  <c r="CJ9" i="10"/>
  <c r="CK9" i="10" s="1"/>
  <c r="CL9" i="10" s="1"/>
  <c r="CI7" i="10"/>
  <c r="CK7" i="10" s="1"/>
  <c r="CL7" i="10" s="1"/>
  <c r="CJ15" i="10"/>
  <c r="CK15" i="10" s="1"/>
  <c r="CL15" i="10" s="1"/>
  <c r="CM15" i="10" s="1"/>
  <c r="CJ13" i="10"/>
  <c r="CK13" i="10" s="1"/>
  <c r="CL13" i="10" s="1"/>
  <c r="AX26" i="10"/>
  <c r="AY26" i="10" s="1"/>
  <c r="AZ26" i="10" s="1"/>
  <c r="BA22" i="10"/>
  <c r="BB22" i="10" s="1"/>
  <c r="BC22" i="10" s="1"/>
  <c r="BE22" i="10" s="1"/>
  <c r="BD11" i="10"/>
  <c r="BF11" i="10" s="1"/>
  <c r="BG11" i="10" s="1"/>
  <c r="BH11" i="10" s="1"/>
  <c r="BA16" i="10"/>
  <c r="BB16" i="10" s="1"/>
  <c r="BC16" i="10" s="1"/>
  <c r="BE16" i="10" s="1"/>
  <c r="BE14" i="10"/>
  <c r="BD14" i="10"/>
  <c r="CF8" i="10"/>
  <c r="CG8" i="10" s="1"/>
  <c r="CH8" i="10" s="1"/>
  <c r="CJ8" i="10" s="1"/>
  <c r="BE31" i="10"/>
  <c r="BF31" i="10" s="1"/>
  <c r="BG31" i="10" s="1"/>
  <c r="BI31" i="10" s="1"/>
  <c r="CI5" i="10"/>
  <c r="CK5" i="10" s="1"/>
  <c r="CL5" i="10" s="1"/>
  <c r="BE13" i="10"/>
  <c r="BF13" i="10" s="1"/>
  <c r="BG13" i="10" s="1"/>
  <c r="CJ16" i="10"/>
  <c r="CK16" i="10" s="1"/>
  <c r="CL16" i="10" s="1"/>
  <c r="AZ8" i="10"/>
  <c r="BB8" i="10" s="1"/>
  <c r="BC8" i="10" s="1"/>
  <c r="CE22" i="10"/>
  <c r="CF22" i="10"/>
  <c r="CI6" i="10"/>
  <c r="CK6" i="10" s="1"/>
  <c r="CL6" i="10" s="1"/>
  <c r="AZ20" i="10"/>
  <c r="BB20" i="10" s="1"/>
  <c r="BC20" i="10" s="1"/>
  <c r="BD6" i="10"/>
  <c r="BF6" i="10" s="1"/>
  <c r="BG6" i="10" s="1"/>
  <c r="CK19" i="10"/>
  <c r="CL19" i="10" s="1"/>
  <c r="CN19" i="10" s="1"/>
  <c r="BB19" i="10"/>
  <c r="BC19" i="10" s="1"/>
  <c r="BD19" i="10" s="1"/>
  <c r="CG26" i="10"/>
  <c r="CH26" i="10" s="1"/>
  <c r="CI26" i="10" s="1"/>
  <c r="BB27" i="10"/>
  <c r="BC27" i="10" s="1"/>
  <c r="BE27" i="10" s="1"/>
  <c r="CK27" i="10"/>
  <c r="CL27" i="10" s="1"/>
  <c r="CM27" i="10" s="1"/>
  <c r="CG17" i="10"/>
  <c r="CH17" i="10" s="1"/>
  <c r="CI17" i="10" s="1"/>
  <c r="BB10" i="10"/>
  <c r="BC10" i="10" s="1"/>
  <c r="BD10" i="10" s="1"/>
  <c r="BB15" i="10"/>
  <c r="BC15" i="10" s="1"/>
  <c r="BD15" i="10" s="1"/>
  <c r="BD25" i="10"/>
  <c r="BE25" i="10"/>
  <c r="CI3" i="10"/>
  <c r="CJ3" i="10"/>
  <c r="CG10" i="10"/>
  <c r="CH10" i="10" s="1"/>
  <c r="BI17" i="10"/>
  <c r="BH17" i="10"/>
  <c r="CI23" i="10"/>
  <c r="CJ23" i="10"/>
  <c r="CM29" i="10"/>
  <c r="CN29" i="10"/>
  <c r="BH23" i="10"/>
  <c r="BI23" i="10"/>
  <c r="BD4" i="10"/>
  <c r="BE4" i="10"/>
  <c r="BD28" i="10"/>
  <c r="BE28" i="10"/>
  <c r="BB24" i="10"/>
  <c r="BC24" i="10" s="1"/>
  <c r="BB18" i="10"/>
  <c r="BC18" i="10" s="1"/>
  <c r="CI25" i="10"/>
  <c r="CJ25" i="10"/>
  <c r="CG12" i="10"/>
  <c r="CH12" i="10" s="1"/>
  <c r="BD29" i="10"/>
  <c r="BE29" i="10"/>
  <c r="CM4" i="10"/>
  <c r="CN4" i="10"/>
  <c r="CM24" i="10"/>
  <c r="CN24" i="10"/>
  <c r="BD30" i="10"/>
  <c r="BE30" i="10"/>
  <c r="CI28" i="10"/>
  <c r="CJ28" i="10"/>
  <c r="CG18" i="10"/>
  <c r="CH18" i="10" s="1"/>
  <c r="BB5" i="10"/>
  <c r="BC5" i="10" s="1"/>
  <c r="BH3" i="10"/>
  <c r="BI3" i="10"/>
  <c r="BB12" i="10"/>
  <c r="BC12" i="10" s="1"/>
  <c r="CE14" i="10"/>
  <c r="CF14" i="10"/>
  <c r="AC72" i="6"/>
  <c r="AC71" i="6"/>
  <c r="AC70" i="6"/>
  <c r="AC69" i="6"/>
  <c r="AC68" i="6"/>
  <c r="AC67" i="6"/>
  <c r="AC66" i="6"/>
  <c r="AC65" i="6"/>
  <c r="AC64" i="6"/>
  <c r="AC63" i="6"/>
  <c r="AC62" i="6"/>
  <c r="AC61" i="6"/>
  <c r="AC60" i="6"/>
  <c r="AC59" i="6"/>
  <c r="AC58" i="6"/>
  <c r="AC57" i="6"/>
  <c r="AC56" i="6"/>
  <c r="AC55" i="6"/>
  <c r="AC54" i="6"/>
  <c r="AC53" i="6"/>
  <c r="AC52" i="6"/>
  <c r="AC51" i="6"/>
  <c r="AC50" i="6"/>
  <c r="AC49" i="6"/>
  <c r="AC48" i="6"/>
  <c r="AC47" i="6"/>
  <c r="AC46" i="6"/>
  <c r="AC45" i="6"/>
  <c r="AC44" i="6"/>
  <c r="AC43" i="6"/>
  <c r="AC11" i="6"/>
  <c r="AC12" i="6"/>
  <c r="AC13" i="6"/>
  <c r="AC14" i="6"/>
  <c r="AC15" i="6"/>
  <c r="AC16" i="6"/>
  <c r="AC17" i="6"/>
  <c r="AC18" i="6"/>
  <c r="AC19" i="6"/>
  <c r="AC20" i="6"/>
  <c r="AC21" i="6"/>
  <c r="AC22" i="6"/>
  <c r="AC23" i="6"/>
  <c r="AC24" i="6"/>
  <c r="AC25" i="6"/>
  <c r="AC26" i="6"/>
  <c r="AC27" i="6"/>
  <c r="AC28" i="6"/>
  <c r="AC29" i="6"/>
  <c r="AC30" i="6"/>
  <c r="AC31" i="6"/>
  <c r="AC32" i="6"/>
  <c r="AC33" i="6"/>
  <c r="AC34" i="6"/>
  <c r="AC35" i="6"/>
  <c r="AC36" i="6"/>
  <c r="AC37" i="6"/>
  <c r="AC38" i="6"/>
  <c r="AC39" i="6"/>
  <c r="AC10" i="6"/>
  <c r="X17" i="11" l="1"/>
  <c r="V17" i="11"/>
  <c r="CM30" i="10"/>
  <c r="CO30" i="10" s="1"/>
  <c r="CP30" i="10" s="1"/>
  <c r="AD40" i="11" s="1"/>
  <c r="AG40" i="11" s="1"/>
  <c r="CG31" i="10"/>
  <c r="CH31" i="10" s="1"/>
  <c r="CF11" i="10"/>
  <c r="CG11" i="10" s="1"/>
  <c r="CH11" i="10" s="1"/>
  <c r="CG21" i="10"/>
  <c r="CH21" i="10" s="1"/>
  <c r="CI21" i="10" s="1"/>
  <c r="CI20" i="10"/>
  <c r="CK20" i="10" s="1"/>
  <c r="CL20" i="10" s="1"/>
  <c r="CM20" i="10" s="1"/>
  <c r="CJ17" i="10"/>
  <c r="CK17" i="10" s="1"/>
  <c r="CL17" i="10" s="1"/>
  <c r="CN15" i="10"/>
  <c r="CO15" i="10" s="1"/>
  <c r="CP15" i="10" s="1"/>
  <c r="AD25" i="11" s="1"/>
  <c r="AG25" i="11" s="1"/>
  <c r="CN27" i="10"/>
  <c r="CO27" i="10" s="1"/>
  <c r="CP27" i="10" s="1"/>
  <c r="AD37" i="11" s="1"/>
  <c r="AG37" i="11" s="1"/>
  <c r="CM19" i="10"/>
  <c r="CO19" i="10" s="1"/>
  <c r="CP19" i="10" s="1"/>
  <c r="AD29" i="11" s="1"/>
  <c r="AG29" i="11" s="1"/>
  <c r="CN13" i="10"/>
  <c r="CM13" i="10"/>
  <c r="BD27" i="10"/>
  <c r="BF27" i="10" s="1"/>
  <c r="BG27" i="10" s="1"/>
  <c r="BH27" i="10" s="1"/>
  <c r="BF14" i="10"/>
  <c r="BG14" i="10" s="1"/>
  <c r="BH14" i="10" s="1"/>
  <c r="CG22" i="10"/>
  <c r="CH22" i="10" s="1"/>
  <c r="CJ26" i="10"/>
  <c r="CK26" i="10" s="1"/>
  <c r="CL26" i="10" s="1"/>
  <c r="BD16" i="10"/>
  <c r="BF16" i="10" s="1"/>
  <c r="BG16" i="10" s="1"/>
  <c r="BI16" i="10" s="1"/>
  <c r="BI21" i="10"/>
  <c r="BJ21" i="10" s="1"/>
  <c r="BK21" i="10" s="1"/>
  <c r="U31" i="11" s="1"/>
  <c r="BA26" i="10"/>
  <c r="BB26" i="10" s="1"/>
  <c r="BC26" i="10" s="1"/>
  <c r="BE10" i="10"/>
  <c r="BF10" i="10" s="1"/>
  <c r="BG10" i="10" s="1"/>
  <c r="BD22" i="10"/>
  <c r="BF22" i="10" s="1"/>
  <c r="BG22" i="10" s="1"/>
  <c r="BM7" i="10"/>
  <c r="T17" i="11" s="1"/>
  <c r="BE15" i="10"/>
  <c r="BF15" i="10" s="1"/>
  <c r="BG15" i="10" s="1"/>
  <c r="BE8" i="10"/>
  <c r="BD8" i="10"/>
  <c r="BE19" i="10"/>
  <c r="BF19" i="10" s="1"/>
  <c r="BG19" i="10" s="1"/>
  <c r="BI19" i="10" s="1"/>
  <c r="BH31" i="10"/>
  <c r="BJ31" i="10" s="1"/>
  <c r="BK31" i="10" s="1"/>
  <c r="U41" i="11" s="1"/>
  <c r="BI11" i="10"/>
  <c r="BJ11" i="10" s="1"/>
  <c r="BK11" i="10" s="1"/>
  <c r="U21" i="11" s="1"/>
  <c r="CK25" i="10"/>
  <c r="CL25" i="10" s="1"/>
  <c r="CM25" i="10" s="1"/>
  <c r="CK23" i="10"/>
  <c r="CL23" i="10" s="1"/>
  <c r="CM23" i="10" s="1"/>
  <c r="CI8" i="10"/>
  <c r="CK8" i="10" s="1"/>
  <c r="CL8" i="10" s="1"/>
  <c r="CN8" i="10" s="1"/>
  <c r="BL7" i="10"/>
  <c r="BI6" i="10"/>
  <c r="BH6" i="10"/>
  <c r="BF28" i="10"/>
  <c r="BG28" i="10" s="1"/>
  <c r="BH28" i="10" s="1"/>
  <c r="CO29" i="10"/>
  <c r="CP29" i="10" s="1"/>
  <c r="CG14" i="10"/>
  <c r="CH14" i="10" s="1"/>
  <c r="CJ14" i="10" s="1"/>
  <c r="CK28" i="10"/>
  <c r="CL28" i="10" s="1"/>
  <c r="CM28" i="10" s="1"/>
  <c r="BF30" i="10"/>
  <c r="BG30" i="10" s="1"/>
  <c r="BH30" i="10" s="1"/>
  <c r="CO4" i="10"/>
  <c r="CP4" i="10" s="1"/>
  <c r="AD14" i="11" s="1"/>
  <c r="AG14" i="11" s="1"/>
  <c r="BJ23" i="10"/>
  <c r="BK23" i="10" s="1"/>
  <c r="U33" i="11" s="1"/>
  <c r="BF25" i="10"/>
  <c r="BG25" i="10" s="1"/>
  <c r="BH25" i="10" s="1"/>
  <c r="CO24" i="10"/>
  <c r="CP24" i="10" s="1"/>
  <c r="AD34" i="11" s="1"/>
  <c r="AG34" i="11" s="1"/>
  <c r="BD24" i="10"/>
  <c r="BE24" i="10"/>
  <c r="BJ3" i="10"/>
  <c r="BK3" i="10" s="1"/>
  <c r="U13" i="11" s="1"/>
  <c r="CN6" i="10"/>
  <c r="CM6" i="10"/>
  <c r="BF29" i="10"/>
  <c r="BG29" i="10" s="1"/>
  <c r="CJ12" i="10"/>
  <c r="CI12" i="10"/>
  <c r="BI13" i="10"/>
  <c r="BH13" i="10"/>
  <c r="BF4" i="10"/>
  <c r="BG4" i="10" s="1"/>
  <c r="BJ17" i="10"/>
  <c r="BK17" i="10" s="1"/>
  <c r="U27" i="11" s="1"/>
  <c r="CK3" i="10"/>
  <c r="CL3" i="10" s="1"/>
  <c r="CN9" i="10"/>
  <c r="CM9" i="10"/>
  <c r="BD5" i="10"/>
  <c r="BE5" i="10"/>
  <c r="CN5" i="10"/>
  <c r="CM5" i="10"/>
  <c r="CN16" i="10"/>
  <c r="CM16" i="10"/>
  <c r="CN7" i="10"/>
  <c r="CM7" i="10"/>
  <c r="BE20" i="10"/>
  <c r="BD20" i="10"/>
  <c r="BI9" i="10"/>
  <c r="BH9" i="10"/>
  <c r="BE12" i="10"/>
  <c r="BD12" i="10"/>
  <c r="CJ18" i="10"/>
  <c r="CI18" i="10"/>
  <c r="BE18" i="10"/>
  <c r="BD18" i="10"/>
  <c r="CJ10" i="10"/>
  <c r="CI10" i="10"/>
  <c r="D52" i="6"/>
  <c r="D57" i="6" s="1"/>
  <c r="D51" i="6"/>
  <c r="D56" i="6" s="1"/>
  <c r="D50" i="6"/>
  <c r="D55" i="6" s="1"/>
  <c r="D49" i="6"/>
  <c r="D54" i="6" s="1"/>
  <c r="D48" i="6"/>
  <c r="D19" i="6"/>
  <c r="D18" i="6"/>
  <c r="D17" i="6"/>
  <c r="D22" i="6" s="1"/>
  <c r="D16" i="6"/>
  <c r="D15" i="6"/>
  <c r="D20" i="6" s="1"/>
  <c r="T6" i="6"/>
  <c r="S7" i="6" s="1"/>
  <c r="N6" i="6"/>
  <c r="M7" i="6" s="1"/>
  <c r="S5" i="6"/>
  <c r="T5" i="6" s="1"/>
  <c r="M5" i="6"/>
  <c r="N5" i="6" s="1"/>
  <c r="I5" i="6"/>
  <c r="J5" i="6" s="1"/>
  <c r="E5" i="6"/>
  <c r="F5" i="6" s="1"/>
  <c r="T4" i="6"/>
  <c r="N4" i="6"/>
  <c r="O13" i="6" s="1"/>
  <c r="J4" i="6"/>
  <c r="J14" i="6" s="1"/>
  <c r="F4" i="6"/>
  <c r="CN20" i="10" l="1"/>
  <c r="CO20" i="10" s="1"/>
  <c r="CP20" i="10" s="1"/>
  <c r="AD30" i="11" s="1"/>
  <c r="AG30" i="11" s="1"/>
  <c r="X31" i="11"/>
  <c r="V31" i="11"/>
  <c r="X13" i="11"/>
  <c r="V13" i="11"/>
  <c r="X21" i="11"/>
  <c r="V21" i="11"/>
  <c r="X41" i="11"/>
  <c r="V41" i="11"/>
  <c r="X27" i="11"/>
  <c r="V27" i="11"/>
  <c r="X33" i="11"/>
  <c r="V33" i="11"/>
  <c r="CJ31" i="10"/>
  <c r="CI31" i="10"/>
  <c r="CJ21" i="10"/>
  <c r="CK21" i="10" s="1"/>
  <c r="CL21" i="10" s="1"/>
  <c r="CN17" i="10"/>
  <c r="CM17" i="10"/>
  <c r="BN7" i="10"/>
  <c r="S17" i="11" s="1"/>
  <c r="CN25" i="10"/>
  <c r="CO25" i="10" s="1"/>
  <c r="CP25" i="10" s="1"/>
  <c r="W17" i="11"/>
  <c r="CO13" i="10"/>
  <c r="CP13" i="10" s="1"/>
  <c r="AD23" i="11" s="1"/>
  <c r="AG23" i="11" s="1"/>
  <c r="CQ29" i="10"/>
  <c r="AD39" i="11"/>
  <c r="AG39" i="11" s="1"/>
  <c r="BH16" i="10"/>
  <c r="BJ16" i="10" s="1"/>
  <c r="BK16" i="10" s="1"/>
  <c r="U26" i="11" s="1"/>
  <c r="CI11" i="10"/>
  <c r="CJ11" i="10"/>
  <c r="BI14" i="10"/>
  <c r="BJ14" i="10" s="1"/>
  <c r="BK14" i="10" s="1"/>
  <c r="U24" i="11" s="1"/>
  <c r="CN23" i="10"/>
  <c r="CO23" i="10" s="1"/>
  <c r="CP23" i="10" s="1"/>
  <c r="CQ15" i="10"/>
  <c r="CR15" i="10"/>
  <c r="AC25" i="11" s="1"/>
  <c r="CQ24" i="10"/>
  <c r="AF34" i="11" s="1"/>
  <c r="BL23" i="10"/>
  <c r="W33" i="11" s="1"/>
  <c r="CR4" i="10"/>
  <c r="AC14" i="11" s="1"/>
  <c r="CR29" i="10"/>
  <c r="CJ22" i="10"/>
  <c r="CI22" i="10"/>
  <c r="BF8" i="10"/>
  <c r="BG8" i="10" s="1"/>
  <c r="BH8" i="10" s="1"/>
  <c r="CQ4" i="10"/>
  <c r="AF14" i="11" s="1"/>
  <c r="BI30" i="10"/>
  <c r="BJ30" i="10" s="1"/>
  <c r="BK30" i="10" s="1"/>
  <c r="U40" i="11" s="1"/>
  <c r="BD26" i="10"/>
  <c r="BE26" i="10"/>
  <c r="BH19" i="10"/>
  <c r="BJ19" i="10" s="1"/>
  <c r="BK19" i="10" s="1"/>
  <c r="U29" i="11" s="1"/>
  <c r="CR24" i="10"/>
  <c r="AC34" i="11" s="1"/>
  <c r="BI25" i="10"/>
  <c r="BJ25" i="10" s="1"/>
  <c r="BK25" i="10" s="1"/>
  <c r="U35" i="11" s="1"/>
  <c r="BJ6" i="10"/>
  <c r="BK6" i="10" s="1"/>
  <c r="U16" i="11" s="1"/>
  <c r="CI14" i="10"/>
  <c r="CK14" i="10" s="1"/>
  <c r="CL14" i="10" s="1"/>
  <c r="BI27" i="10"/>
  <c r="BJ27" i="10" s="1"/>
  <c r="BK27" i="10" s="1"/>
  <c r="U37" i="11" s="1"/>
  <c r="CM8" i="10"/>
  <c r="CO8" i="10" s="1"/>
  <c r="CP8" i="10" s="1"/>
  <c r="AD18" i="11" s="1"/>
  <c r="AG18" i="11" s="1"/>
  <c r="BI22" i="10"/>
  <c r="BH22" i="10"/>
  <c r="BF18" i="10"/>
  <c r="BG18" i="10" s="1"/>
  <c r="BH18" i="10" s="1"/>
  <c r="CN28" i="10"/>
  <c r="CO28" i="10" s="1"/>
  <c r="CP28" i="10" s="1"/>
  <c r="AD38" i="11" s="1"/>
  <c r="AG38" i="11" s="1"/>
  <c r="BI28" i="10"/>
  <c r="BJ28" i="10" s="1"/>
  <c r="BK28" i="10" s="1"/>
  <c r="U38" i="11" s="1"/>
  <c r="BM23" i="10"/>
  <c r="T33" i="11" s="1"/>
  <c r="CO5" i="10"/>
  <c r="CP5" i="10" s="1"/>
  <c r="CO9" i="10"/>
  <c r="CP9" i="10" s="1"/>
  <c r="AD19" i="11" s="1"/>
  <c r="AG19" i="11" s="1"/>
  <c r="BF5" i="10"/>
  <c r="BG5" i="10" s="1"/>
  <c r="BH5" i="10" s="1"/>
  <c r="CK12" i="10"/>
  <c r="CL12" i="10" s="1"/>
  <c r="CM12" i="10" s="1"/>
  <c r="CO6" i="10"/>
  <c r="CP6" i="10" s="1"/>
  <c r="AD16" i="11" s="1"/>
  <c r="AG16" i="11" s="1"/>
  <c r="BF12" i="10"/>
  <c r="BG12" i="10" s="1"/>
  <c r="BH12" i="10" s="1"/>
  <c r="BF20" i="10"/>
  <c r="BG20" i="10" s="1"/>
  <c r="BH20" i="10" s="1"/>
  <c r="BJ13" i="10"/>
  <c r="BK13" i="10" s="1"/>
  <c r="U23" i="11" s="1"/>
  <c r="CQ30" i="10"/>
  <c r="AF40" i="11" s="1"/>
  <c r="CR30" i="10"/>
  <c r="AC40" i="11" s="1"/>
  <c r="BM11" i="10"/>
  <c r="T21" i="11" s="1"/>
  <c r="BL11" i="10"/>
  <c r="W21" i="11" s="1"/>
  <c r="BM17" i="10"/>
  <c r="T27" i="11" s="1"/>
  <c r="BL17" i="10"/>
  <c r="W27" i="11" s="1"/>
  <c r="CQ27" i="10"/>
  <c r="AF37" i="11" s="1"/>
  <c r="CR27" i="10"/>
  <c r="AC37" i="11" s="1"/>
  <c r="BF24" i="10"/>
  <c r="BG24" i="10" s="1"/>
  <c r="CK10" i="10"/>
  <c r="CL10" i="10" s="1"/>
  <c r="CK18" i="10"/>
  <c r="CL18" i="10" s="1"/>
  <c r="BJ9" i="10"/>
  <c r="BK9" i="10" s="1"/>
  <c r="U19" i="11" s="1"/>
  <c r="CM26" i="10"/>
  <c r="CN26" i="10"/>
  <c r="BM31" i="10"/>
  <c r="T41" i="11" s="1"/>
  <c r="BL31" i="10"/>
  <c r="W41" i="11" s="1"/>
  <c r="CO16" i="10"/>
  <c r="CP16" i="10" s="1"/>
  <c r="AD26" i="11" s="1"/>
  <c r="AG26" i="11" s="1"/>
  <c r="BH4" i="10"/>
  <c r="BI4" i="10"/>
  <c r="CR19" i="10"/>
  <c r="AC29" i="11" s="1"/>
  <c r="CQ19" i="10"/>
  <c r="AF29" i="11" s="1"/>
  <c r="CO7" i="10"/>
  <c r="CP7" i="10" s="1"/>
  <c r="AD17" i="11" s="1"/>
  <c r="CM3" i="10"/>
  <c r="CN3" i="10"/>
  <c r="BH29" i="10"/>
  <c r="BI29" i="10"/>
  <c r="BL3" i="10"/>
  <c r="W13" i="11" s="1"/>
  <c r="BM3" i="10"/>
  <c r="T13" i="11" s="1"/>
  <c r="BM21" i="10"/>
  <c r="T31" i="11" s="1"/>
  <c r="BL21" i="10"/>
  <c r="W31" i="11" s="1"/>
  <c r="BI10" i="10"/>
  <c r="BH10" i="10"/>
  <c r="BI15" i="10"/>
  <c r="BH15" i="10"/>
  <c r="J12" i="6"/>
  <c r="J15" i="6"/>
  <c r="F15" i="6"/>
  <c r="J13" i="6"/>
  <c r="F12" i="6"/>
  <c r="F19" i="6"/>
  <c r="O15" i="6"/>
  <c r="O11" i="6"/>
  <c r="O12" i="6"/>
  <c r="O49" i="6"/>
  <c r="J19" i="6"/>
  <c r="D24" i="6"/>
  <c r="Y24" i="6" s="1"/>
  <c r="F17" i="6"/>
  <c r="J17" i="6"/>
  <c r="I54" i="6"/>
  <c r="K54" i="6" s="1"/>
  <c r="L54" i="6" s="1"/>
  <c r="I50" i="6"/>
  <c r="K50" i="6" s="1"/>
  <c r="L50" i="6" s="1"/>
  <c r="I49" i="6"/>
  <c r="K49" i="6" s="1"/>
  <c r="L49" i="6" s="1"/>
  <c r="I56" i="6"/>
  <c r="K56" i="6" s="1"/>
  <c r="L56" i="6" s="1"/>
  <c r="I52" i="6"/>
  <c r="K52" i="6" s="1"/>
  <c r="L52" i="6" s="1"/>
  <c r="I51" i="6"/>
  <c r="K51" i="6" s="1"/>
  <c r="L51" i="6" s="1"/>
  <c r="I57" i="6"/>
  <c r="K57" i="6" s="1"/>
  <c r="L57" i="6" s="1"/>
  <c r="I48" i="6"/>
  <c r="K48" i="6" s="1"/>
  <c r="L48" i="6" s="1"/>
  <c r="I47" i="6"/>
  <c r="K47" i="6" s="1"/>
  <c r="L47" i="6" s="1"/>
  <c r="I46" i="6"/>
  <c r="K46" i="6" s="1"/>
  <c r="L46" i="6" s="1"/>
  <c r="I45" i="6"/>
  <c r="K45" i="6" s="1"/>
  <c r="L45" i="6" s="1"/>
  <c r="I44" i="6"/>
  <c r="K44" i="6" s="1"/>
  <c r="L44" i="6" s="1"/>
  <c r="I43" i="6"/>
  <c r="K43" i="6" s="1"/>
  <c r="L43" i="6" s="1"/>
  <c r="I55" i="6"/>
  <c r="K55" i="6" s="1"/>
  <c r="L55" i="6" s="1"/>
  <c r="Y19" i="6"/>
  <c r="I19" i="6"/>
  <c r="K19" i="6" s="1"/>
  <c r="L19" i="6" s="1"/>
  <c r="Y17" i="6"/>
  <c r="I17" i="6"/>
  <c r="K17" i="6" s="1"/>
  <c r="L17" i="6" s="1"/>
  <c r="Y15" i="6"/>
  <c r="I15" i="6"/>
  <c r="K15" i="6" s="1"/>
  <c r="L15" i="6" s="1"/>
  <c r="Y12" i="6"/>
  <c r="I12" i="6"/>
  <c r="K12" i="6" s="1"/>
  <c r="L12" i="6" s="1"/>
  <c r="Y14" i="6"/>
  <c r="I14" i="6"/>
  <c r="K14" i="6" s="1"/>
  <c r="L14" i="6" s="1"/>
  <c r="Y11" i="6"/>
  <c r="I11" i="6"/>
  <c r="K11" i="6" s="1"/>
  <c r="L11" i="6" s="1"/>
  <c r="Y10" i="6"/>
  <c r="Y22" i="6"/>
  <c r="I22" i="6"/>
  <c r="K22" i="6" s="1"/>
  <c r="L22" i="6" s="1"/>
  <c r="Y20" i="6"/>
  <c r="I20" i="6"/>
  <c r="K20" i="6" s="1"/>
  <c r="L20" i="6" s="1"/>
  <c r="Y18" i="6"/>
  <c r="I18" i="6"/>
  <c r="K18" i="6" s="1"/>
  <c r="L18" i="6" s="1"/>
  <c r="Y16" i="6"/>
  <c r="I16" i="6"/>
  <c r="K16" i="6" s="1"/>
  <c r="L16" i="6" s="1"/>
  <c r="I10" i="6"/>
  <c r="K10" i="6" s="1"/>
  <c r="L10" i="6" s="1"/>
  <c r="U50" i="6"/>
  <c r="U51" i="6"/>
  <c r="U47" i="6"/>
  <c r="U46" i="6"/>
  <c r="U45" i="6"/>
  <c r="U44" i="6"/>
  <c r="U43" i="6"/>
  <c r="U12" i="6"/>
  <c r="U14" i="6"/>
  <c r="U11" i="6"/>
  <c r="U10" i="6"/>
  <c r="N57" i="6"/>
  <c r="M57" i="6" s="1"/>
  <c r="N49" i="6"/>
  <c r="N56" i="6"/>
  <c r="M56" i="6" s="1"/>
  <c r="N52" i="6"/>
  <c r="M52" i="6" s="1"/>
  <c r="N48" i="6"/>
  <c r="M48" i="6" s="1"/>
  <c r="N55" i="6"/>
  <c r="M55" i="6" s="1"/>
  <c r="N51" i="6"/>
  <c r="M51" i="6" s="1"/>
  <c r="N50" i="6"/>
  <c r="M50" i="6" s="1"/>
  <c r="N47" i="6"/>
  <c r="M47" i="6" s="1"/>
  <c r="N46" i="6"/>
  <c r="M46" i="6" s="1"/>
  <c r="N45" i="6"/>
  <c r="M45" i="6" s="1"/>
  <c r="N44" i="6"/>
  <c r="M44" i="6" s="1"/>
  <c r="N43" i="6"/>
  <c r="M43" i="6" s="1"/>
  <c r="N11" i="6"/>
  <c r="M11" i="6" s="1"/>
  <c r="N13" i="6"/>
  <c r="M13" i="6" s="1"/>
  <c r="N54" i="6"/>
  <c r="M54" i="6" s="1"/>
  <c r="N22" i="6"/>
  <c r="N20" i="6"/>
  <c r="M20" i="6" s="1"/>
  <c r="N18" i="6"/>
  <c r="M18" i="6" s="1"/>
  <c r="N16" i="6"/>
  <c r="M16" i="6" s="1"/>
  <c r="N14" i="6"/>
  <c r="M14" i="6" s="1"/>
  <c r="N10" i="6"/>
  <c r="M10" i="6" s="1"/>
  <c r="Y13" i="6"/>
  <c r="T14" i="6"/>
  <c r="S14" i="6" s="1"/>
  <c r="E54" i="6"/>
  <c r="G54" i="6" s="1"/>
  <c r="H54" i="6" s="1"/>
  <c r="E50" i="6"/>
  <c r="G50" i="6" s="1"/>
  <c r="H50" i="6" s="1"/>
  <c r="E49" i="6"/>
  <c r="G49" i="6" s="1"/>
  <c r="H49" i="6" s="1"/>
  <c r="E57" i="6"/>
  <c r="G57" i="6" s="1"/>
  <c r="H57" i="6" s="1"/>
  <c r="E56" i="6"/>
  <c r="G56" i="6" s="1"/>
  <c r="H56" i="6" s="1"/>
  <c r="E52" i="6"/>
  <c r="G52" i="6" s="1"/>
  <c r="H52" i="6" s="1"/>
  <c r="E55" i="6"/>
  <c r="G55" i="6" s="1"/>
  <c r="H55" i="6" s="1"/>
  <c r="E51" i="6"/>
  <c r="G51" i="6" s="1"/>
  <c r="H51" i="6" s="1"/>
  <c r="E48" i="6"/>
  <c r="G48" i="6" s="1"/>
  <c r="H48" i="6" s="1"/>
  <c r="E47" i="6"/>
  <c r="G47" i="6" s="1"/>
  <c r="H47" i="6" s="1"/>
  <c r="E46" i="6"/>
  <c r="G46" i="6" s="1"/>
  <c r="H46" i="6" s="1"/>
  <c r="E45" i="6"/>
  <c r="G45" i="6" s="1"/>
  <c r="H45" i="6" s="1"/>
  <c r="E44" i="6"/>
  <c r="G44" i="6" s="1"/>
  <c r="H44" i="6" s="1"/>
  <c r="E43" i="6"/>
  <c r="G43" i="6" s="1"/>
  <c r="H43" i="6" s="1"/>
  <c r="E19" i="6"/>
  <c r="G19" i="6" s="1"/>
  <c r="H19" i="6" s="1"/>
  <c r="E17" i="6"/>
  <c r="G17" i="6" s="1"/>
  <c r="H17" i="6" s="1"/>
  <c r="E15" i="6"/>
  <c r="G15" i="6" s="1"/>
  <c r="H15" i="6" s="1"/>
  <c r="E12" i="6"/>
  <c r="G12" i="6" s="1"/>
  <c r="H12" i="6" s="1"/>
  <c r="E14" i="6"/>
  <c r="G14" i="6" s="1"/>
  <c r="H14" i="6" s="1"/>
  <c r="E11" i="6"/>
  <c r="G11" i="6" s="1"/>
  <c r="H11" i="6" s="1"/>
  <c r="E10" i="6"/>
  <c r="G10" i="6" s="1"/>
  <c r="H10" i="6" s="1"/>
  <c r="E22" i="6"/>
  <c r="G22" i="6" s="1"/>
  <c r="H22" i="6" s="1"/>
  <c r="E20" i="6"/>
  <c r="G20" i="6" s="1"/>
  <c r="H20" i="6" s="1"/>
  <c r="E18" i="6"/>
  <c r="G18" i="6" s="1"/>
  <c r="H18" i="6" s="1"/>
  <c r="E16" i="6"/>
  <c r="G16" i="6" s="1"/>
  <c r="H16" i="6" s="1"/>
  <c r="T55" i="6"/>
  <c r="S55" i="6" s="1"/>
  <c r="T51" i="6"/>
  <c r="S51" i="6" s="1"/>
  <c r="T54" i="6"/>
  <c r="S54" i="6" s="1"/>
  <c r="T50" i="6"/>
  <c r="T49" i="6"/>
  <c r="S49" i="6" s="1"/>
  <c r="T52" i="6"/>
  <c r="S52" i="6" s="1"/>
  <c r="T48" i="6"/>
  <c r="S48" i="6" s="1"/>
  <c r="T46" i="6"/>
  <c r="S46" i="6" s="1"/>
  <c r="T13" i="6"/>
  <c r="S13" i="6" s="1"/>
  <c r="T57" i="6"/>
  <c r="S57" i="6" s="1"/>
  <c r="T45" i="6"/>
  <c r="S45" i="6" s="1"/>
  <c r="T19" i="6"/>
  <c r="S19" i="6" s="1"/>
  <c r="T17" i="6"/>
  <c r="S17" i="6" s="1"/>
  <c r="T15" i="6"/>
  <c r="S15" i="6" s="1"/>
  <c r="T12" i="6"/>
  <c r="S12" i="6" s="1"/>
  <c r="T47" i="6"/>
  <c r="S47" i="6" s="1"/>
  <c r="T43" i="6"/>
  <c r="T56" i="6"/>
  <c r="S56" i="6" s="1"/>
  <c r="T44" i="6"/>
  <c r="S44" i="6" s="1"/>
  <c r="T11" i="6"/>
  <c r="S11" i="6" s="1"/>
  <c r="N12" i="6"/>
  <c r="M12" i="6" s="1"/>
  <c r="E13" i="6"/>
  <c r="G13" i="6" s="1"/>
  <c r="H13" i="6" s="1"/>
  <c r="U15" i="6"/>
  <c r="N17" i="6"/>
  <c r="M17" i="6" s="1"/>
  <c r="N19" i="6"/>
  <c r="M19" i="6" s="1"/>
  <c r="M49" i="6"/>
  <c r="M22" i="6"/>
  <c r="I13" i="6"/>
  <c r="K13" i="6" s="1"/>
  <c r="L13" i="6" s="1"/>
  <c r="U13" i="6"/>
  <c r="U17" i="6"/>
  <c r="U19" i="6"/>
  <c r="O22" i="6"/>
  <c r="Y27" i="6"/>
  <c r="J22" i="6"/>
  <c r="F22" i="6"/>
  <c r="U22" i="6"/>
  <c r="T22" i="6"/>
  <c r="S22" i="6" s="1"/>
  <c r="S50" i="6"/>
  <c r="S43" i="6"/>
  <c r="T10" i="6"/>
  <c r="S10" i="6" s="1"/>
  <c r="N15" i="6"/>
  <c r="M15" i="6" s="1"/>
  <c r="O16" i="6"/>
  <c r="D21" i="6"/>
  <c r="I21" i="6" s="1"/>
  <c r="K21" i="6" s="1"/>
  <c r="L21" i="6" s="1"/>
  <c r="J16" i="6"/>
  <c r="F16" i="6"/>
  <c r="U16" i="6"/>
  <c r="T16" i="6"/>
  <c r="S16" i="6" s="1"/>
  <c r="O18" i="6"/>
  <c r="D23" i="6"/>
  <c r="T23" i="6" s="1"/>
  <c r="S23" i="6" s="1"/>
  <c r="J18" i="6"/>
  <c r="F18" i="6"/>
  <c r="U18" i="6"/>
  <c r="T18" i="6"/>
  <c r="S18" i="6" s="1"/>
  <c r="O20" i="6"/>
  <c r="D25" i="6"/>
  <c r="I25" i="6" s="1"/>
  <c r="K25" i="6" s="1"/>
  <c r="L25" i="6" s="1"/>
  <c r="J20" i="6"/>
  <c r="F20" i="6"/>
  <c r="U20" i="6"/>
  <c r="T20" i="6"/>
  <c r="S20" i="6" s="1"/>
  <c r="O56" i="6"/>
  <c r="D61" i="6"/>
  <c r="J56" i="6"/>
  <c r="F56" i="6"/>
  <c r="U56" i="6"/>
  <c r="O17" i="6"/>
  <c r="O19" i="6"/>
  <c r="F49" i="6"/>
  <c r="F51" i="6"/>
  <c r="F47" i="6"/>
  <c r="F46" i="6"/>
  <c r="F45" i="6"/>
  <c r="F44" i="6"/>
  <c r="F43" i="6"/>
  <c r="F10" i="6"/>
  <c r="J10" i="6"/>
  <c r="F14" i="6"/>
  <c r="F50" i="6"/>
  <c r="J57" i="6"/>
  <c r="F57" i="6"/>
  <c r="D62" i="6"/>
  <c r="N62" i="6" s="1"/>
  <c r="M62" i="6" s="1"/>
  <c r="U57" i="6"/>
  <c r="O57" i="6"/>
  <c r="F13" i="6"/>
  <c r="J49" i="6"/>
  <c r="J47" i="6"/>
  <c r="J46" i="6"/>
  <c r="J45" i="6"/>
  <c r="J44" i="6"/>
  <c r="J43" i="6"/>
  <c r="J50" i="6"/>
  <c r="O50" i="6"/>
  <c r="O47" i="6"/>
  <c r="O46" i="6"/>
  <c r="O45" i="6"/>
  <c r="O44" i="6"/>
  <c r="O43" i="6"/>
  <c r="O10" i="6"/>
  <c r="F11" i="6"/>
  <c r="J11" i="6"/>
  <c r="O14" i="6"/>
  <c r="J48" i="6"/>
  <c r="D53" i="6"/>
  <c r="N53" i="6" s="1"/>
  <c r="M53" i="6" s="1"/>
  <c r="U48" i="6"/>
  <c r="D59" i="6"/>
  <c r="T59" i="6" s="1"/>
  <c r="S59" i="6" s="1"/>
  <c r="U54" i="6"/>
  <c r="O54" i="6"/>
  <c r="O51" i="6"/>
  <c r="O48" i="6"/>
  <c r="F54" i="6"/>
  <c r="F48" i="6"/>
  <c r="D60" i="6"/>
  <c r="I60" i="6" s="1"/>
  <c r="K60" i="6" s="1"/>
  <c r="L60" i="6" s="1"/>
  <c r="O55" i="6"/>
  <c r="J55" i="6"/>
  <c r="F55" i="6"/>
  <c r="O52" i="6"/>
  <c r="J52" i="6"/>
  <c r="F52" i="6"/>
  <c r="U52" i="6"/>
  <c r="J54" i="6"/>
  <c r="U55" i="6"/>
  <c r="J51" i="6"/>
  <c r="U49" i="6"/>
  <c r="B14" i="5"/>
  <c r="B15" i="5"/>
  <c r="B16" i="5"/>
  <c r="B17" i="5"/>
  <c r="B13" i="5"/>
  <c r="X19" i="11" l="1"/>
  <c r="V19" i="11"/>
  <c r="AE19" i="11"/>
  <c r="X23" i="11"/>
  <c r="V23" i="11"/>
  <c r="AE23" i="11"/>
  <c r="X37" i="11"/>
  <c r="AE37" i="11"/>
  <c r="V37" i="11"/>
  <c r="X40" i="11"/>
  <c r="AE40" i="11"/>
  <c r="V40" i="11"/>
  <c r="X26" i="11"/>
  <c r="V26" i="11"/>
  <c r="AE26" i="11"/>
  <c r="X29" i="11"/>
  <c r="AE29" i="11"/>
  <c r="V29" i="11"/>
  <c r="X24" i="11"/>
  <c r="V24" i="11"/>
  <c r="AG17" i="11"/>
  <c r="AE17" i="11"/>
  <c r="X38" i="11"/>
  <c r="AE38" i="11"/>
  <c r="V38" i="11"/>
  <c r="X16" i="11"/>
  <c r="AE16" i="11"/>
  <c r="V16" i="11"/>
  <c r="X35" i="11"/>
  <c r="V35" i="11"/>
  <c r="Y17" i="11"/>
  <c r="H50" i="11"/>
  <c r="CR13" i="10"/>
  <c r="AC23" i="11" s="1"/>
  <c r="BN31" i="10"/>
  <c r="S41" i="11" s="1"/>
  <c r="BN21" i="10"/>
  <c r="S31" i="11" s="1"/>
  <c r="CK31" i="10"/>
  <c r="CL31" i="10" s="1"/>
  <c r="CM31" i="10" s="1"/>
  <c r="CM21" i="10"/>
  <c r="CN21" i="10"/>
  <c r="CO17" i="10"/>
  <c r="CP17" i="10" s="1"/>
  <c r="AD27" i="11" s="1"/>
  <c r="AD35" i="11"/>
  <c r="AG35" i="11" s="1"/>
  <c r="CQ25" i="10"/>
  <c r="CR25" i="10"/>
  <c r="BM14" i="10"/>
  <c r="T24" i="11" s="1"/>
  <c r="CS15" i="10"/>
  <c r="AB25" i="11" s="1"/>
  <c r="CR23" i="10"/>
  <c r="AD33" i="11"/>
  <c r="U24" i="6"/>
  <c r="CQ5" i="10"/>
  <c r="AD15" i="11"/>
  <c r="AG15" i="11" s="1"/>
  <c r="CS29" i="10"/>
  <c r="AB39" i="11" s="1"/>
  <c r="AF25" i="11"/>
  <c r="CQ13" i="10"/>
  <c r="BN23" i="10"/>
  <c r="S33" i="11" s="1"/>
  <c r="BL14" i="10"/>
  <c r="W24" i="11" s="1"/>
  <c r="CK11" i="10"/>
  <c r="CL11" i="10" s="1"/>
  <c r="AF39" i="11"/>
  <c r="AC39" i="11"/>
  <c r="CS24" i="10"/>
  <c r="AB34" i="11" s="1"/>
  <c r="CS4" i="10"/>
  <c r="AB14" i="11" s="1"/>
  <c r="BM30" i="10"/>
  <c r="T40" i="11" s="1"/>
  <c r="CQ20" i="10"/>
  <c r="AF30" i="11" s="1"/>
  <c r="CR6" i="10"/>
  <c r="AC16" i="11" s="1"/>
  <c r="CR20" i="10"/>
  <c r="AC30" i="11" s="1"/>
  <c r="BF26" i="10"/>
  <c r="BG26" i="10" s="1"/>
  <c r="BH26" i="10" s="1"/>
  <c r="CQ23" i="10"/>
  <c r="CR5" i="10"/>
  <c r="CK22" i="10"/>
  <c r="CL22" i="10" s="1"/>
  <c r="BL13" i="10"/>
  <c r="W23" i="11" s="1"/>
  <c r="BI8" i="10"/>
  <c r="BJ8" i="10" s="1"/>
  <c r="BK8" i="10" s="1"/>
  <c r="U18" i="11" s="1"/>
  <c r="CQ6" i="10"/>
  <c r="AF16" i="11" s="1"/>
  <c r="BI20" i="10"/>
  <c r="BJ20" i="10" s="1"/>
  <c r="BK20" i="10" s="1"/>
  <c r="U30" i="11" s="1"/>
  <c r="BL30" i="10"/>
  <c r="W40" i="11" s="1"/>
  <c r="BJ22" i="10"/>
  <c r="BK22" i="10" s="1"/>
  <c r="U32" i="11" s="1"/>
  <c r="BI12" i="10"/>
  <c r="BJ12" i="10" s="1"/>
  <c r="BK12" i="10" s="1"/>
  <c r="U22" i="11" s="1"/>
  <c r="BM13" i="10"/>
  <c r="T23" i="11" s="1"/>
  <c r="BM19" i="10"/>
  <c r="T29" i="11" s="1"/>
  <c r="BL19" i="10"/>
  <c r="W29" i="11" s="1"/>
  <c r="BI18" i="10"/>
  <c r="BJ18" i="10" s="1"/>
  <c r="BK18" i="10" s="1"/>
  <c r="U28" i="11" s="1"/>
  <c r="BN11" i="10"/>
  <c r="S21" i="11" s="1"/>
  <c r="BM6" i="10"/>
  <c r="T16" i="11" s="1"/>
  <c r="BL6" i="10"/>
  <c r="W16" i="11" s="1"/>
  <c r="CR9" i="10"/>
  <c r="AC19" i="11" s="1"/>
  <c r="BL27" i="10"/>
  <c r="W37" i="11" s="1"/>
  <c r="BM27" i="10"/>
  <c r="T37" i="11" s="1"/>
  <c r="BL28" i="10"/>
  <c r="W38" i="11" s="1"/>
  <c r="BM28" i="10"/>
  <c r="T38" i="11" s="1"/>
  <c r="CN12" i="10"/>
  <c r="CO12" i="10" s="1"/>
  <c r="CP12" i="10" s="1"/>
  <c r="AD22" i="11" s="1"/>
  <c r="AG22" i="11" s="1"/>
  <c r="CQ9" i="10"/>
  <c r="AF19" i="11" s="1"/>
  <c r="BN3" i="10"/>
  <c r="S13" i="11" s="1"/>
  <c r="BL16" i="10"/>
  <c r="W26" i="11" s="1"/>
  <c r="BI5" i="10"/>
  <c r="BJ5" i="10" s="1"/>
  <c r="BK5" i="10" s="1"/>
  <c r="U15" i="11" s="1"/>
  <c r="BJ10" i="10"/>
  <c r="BK10" i="10" s="1"/>
  <c r="U20" i="11" s="1"/>
  <c r="CS19" i="10"/>
  <c r="AB29" i="11" s="1"/>
  <c r="BM16" i="10"/>
  <c r="T26" i="11" s="1"/>
  <c r="BJ15" i="10"/>
  <c r="BK15" i="10" s="1"/>
  <c r="U25" i="11" s="1"/>
  <c r="BN17" i="10"/>
  <c r="S27" i="11" s="1"/>
  <c r="CS30" i="10"/>
  <c r="AB40" i="11" s="1"/>
  <c r="CR16" i="10"/>
  <c r="AC26" i="11" s="1"/>
  <c r="CQ16" i="10"/>
  <c r="AF26" i="11" s="1"/>
  <c r="CN10" i="10"/>
  <c r="CM10" i="10"/>
  <c r="CN14" i="10"/>
  <c r="CM14" i="10"/>
  <c r="CN18" i="10"/>
  <c r="CM18" i="10"/>
  <c r="CO3" i="10"/>
  <c r="CP3" i="10" s="1"/>
  <c r="AD13" i="11" s="1"/>
  <c r="CR7" i="10"/>
  <c r="AC17" i="11" s="1"/>
  <c r="CQ7" i="10"/>
  <c r="AF17" i="11" s="1"/>
  <c r="CR8" i="10"/>
  <c r="AC18" i="11" s="1"/>
  <c r="CQ8" i="10"/>
  <c r="AF18" i="11" s="1"/>
  <c r="CO26" i="10"/>
  <c r="CP26" i="10" s="1"/>
  <c r="AD36" i="11" s="1"/>
  <c r="AG36" i="11" s="1"/>
  <c r="BH24" i="10"/>
  <c r="BI24" i="10"/>
  <c r="CS27" i="10"/>
  <c r="AB37" i="11" s="1"/>
  <c r="BJ29" i="10"/>
  <c r="BK29" i="10" s="1"/>
  <c r="U39" i="11" s="1"/>
  <c r="BJ4" i="10"/>
  <c r="BK4" i="10" s="1"/>
  <c r="U14" i="11" s="1"/>
  <c r="BM9" i="10"/>
  <c r="T19" i="11" s="1"/>
  <c r="BL9" i="10"/>
  <c r="W19" i="11" s="1"/>
  <c r="CQ28" i="10"/>
  <c r="AF38" i="11" s="1"/>
  <c r="CR28" i="10"/>
  <c r="AC38" i="11" s="1"/>
  <c r="BL25" i="10"/>
  <c r="W35" i="11" s="1"/>
  <c r="BM25" i="10"/>
  <c r="T35" i="11" s="1"/>
  <c r="O24" i="6"/>
  <c r="N24" i="6"/>
  <c r="M24" i="6" s="1"/>
  <c r="N21" i="6"/>
  <c r="M21" i="6" s="1"/>
  <c r="R21" i="6" s="1"/>
  <c r="J24" i="6"/>
  <c r="T24" i="6"/>
  <c r="S24" i="6" s="1"/>
  <c r="V24" i="6" s="1"/>
  <c r="W24" i="6" s="1"/>
  <c r="D29" i="6"/>
  <c r="U29" i="6" s="1"/>
  <c r="I24" i="6"/>
  <c r="K24" i="6" s="1"/>
  <c r="L24" i="6" s="1"/>
  <c r="F24" i="6"/>
  <c r="E24" i="6"/>
  <c r="G24" i="6" s="1"/>
  <c r="H24" i="6" s="1"/>
  <c r="T60" i="6"/>
  <c r="S60" i="6" s="1"/>
  <c r="V60" i="6" s="1"/>
  <c r="W60" i="6" s="1"/>
  <c r="E60" i="6"/>
  <c r="G60" i="6" s="1"/>
  <c r="H60" i="6" s="1"/>
  <c r="I53" i="6"/>
  <c r="K53" i="6" s="1"/>
  <c r="L53" i="6" s="1"/>
  <c r="E59" i="6"/>
  <c r="G59" i="6" s="1"/>
  <c r="H59" i="6" s="1"/>
  <c r="E53" i="6"/>
  <c r="G53" i="6" s="1"/>
  <c r="H53" i="6" s="1"/>
  <c r="N60" i="6"/>
  <c r="M60" i="6" s="1"/>
  <c r="P60" i="6" s="1"/>
  <c r="Q60" i="6" s="1"/>
  <c r="T53" i="6"/>
  <c r="S53" i="6" s="1"/>
  <c r="X53" i="6" s="1"/>
  <c r="I62" i="6"/>
  <c r="K62" i="6" s="1"/>
  <c r="L62" i="6" s="1"/>
  <c r="E23" i="6"/>
  <c r="G23" i="6" s="1"/>
  <c r="H23" i="6" s="1"/>
  <c r="Y23" i="6"/>
  <c r="X59" i="6"/>
  <c r="V59" i="6"/>
  <c r="W59" i="6" s="1"/>
  <c r="V18" i="6"/>
  <c r="W18" i="6" s="1"/>
  <c r="X18" i="6"/>
  <c r="P17" i="6"/>
  <c r="Q17" i="6" s="1"/>
  <c r="R17" i="6"/>
  <c r="X19" i="6"/>
  <c r="V19" i="6"/>
  <c r="W19" i="6" s="1"/>
  <c r="X13" i="6"/>
  <c r="V13" i="6"/>
  <c r="W13" i="6" s="1"/>
  <c r="R56" i="6"/>
  <c r="P56" i="6"/>
  <c r="Q56" i="6" s="1"/>
  <c r="X23" i="6"/>
  <c r="V23" i="6"/>
  <c r="W23" i="6" s="1"/>
  <c r="R16" i="6"/>
  <c r="P16" i="6"/>
  <c r="Q16" i="6" s="1"/>
  <c r="R43" i="6"/>
  <c r="P43" i="6"/>
  <c r="Q43" i="6" s="1"/>
  <c r="V16" i="6"/>
  <c r="W16" i="6" s="1"/>
  <c r="X16" i="6"/>
  <c r="V22" i="6"/>
  <c r="W22" i="6" s="1"/>
  <c r="X22" i="6"/>
  <c r="X15" i="6"/>
  <c r="V15" i="6"/>
  <c r="W15" i="6" s="1"/>
  <c r="R18" i="6"/>
  <c r="P18" i="6"/>
  <c r="Q18" i="6" s="1"/>
  <c r="R44" i="6"/>
  <c r="P44" i="6"/>
  <c r="Q44" i="6" s="1"/>
  <c r="R62" i="6"/>
  <c r="P62" i="6"/>
  <c r="Q62" i="6" s="1"/>
  <c r="V11" i="6"/>
  <c r="W11" i="6" s="1"/>
  <c r="X11" i="6"/>
  <c r="R46" i="6"/>
  <c r="P46" i="6"/>
  <c r="Q46" i="6" s="1"/>
  <c r="X12" i="6"/>
  <c r="V12" i="6"/>
  <c r="W12" i="6" s="1"/>
  <c r="V46" i="6"/>
  <c r="W46" i="6" s="1"/>
  <c r="X46" i="6"/>
  <c r="V14" i="6"/>
  <c r="W14" i="6" s="1"/>
  <c r="X14" i="6"/>
  <c r="R24" i="6"/>
  <c r="P24" i="6"/>
  <c r="Q24" i="6" s="1"/>
  <c r="R47" i="6"/>
  <c r="P47" i="6"/>
  <c r="Q47" i="6" s="1"/>
  <c r="V57" i="6"/>
  <c r="W57" i="6" s="1"/>
  <c r="X57" i="6"/>
  <c r="V52" i="6"/>
  <c r="W52" i="6" s="1"/>
  <c r="X52" i="6"/>
  <c r="R52" i="6"/>
  <c r="P52" i="6"/>
  <c r="Q52" i="6" s="1"/>
  <c r="R57" i="6"/>
  <c r="P57" i="6"/>
  <c r="Q57" i="6" s="1"/>
  <c r="O61" i="6"/>
  <c r="J61" i="6"/>
  <c r="F61" i="6"/>
  <c r="D66" i="6"/>
  <c r="U61" i="6"/>
  <c r="X17" i="6"/>
  <c r="V17" i="6"/>
  <c r="W17" i="6" s="1"/>
  <c r="V10" i="6"/>
  <c r="W10" i="6" s="1"/>
  <c r="X10" i="6"/>
  <c r="V48" i="6"/>
  <c r="W48" i="6" s="1"/>
  <c r="X48" i="6"/>
  <c r="V47" i="6"/>
  <c r="W47" i="6" s="1"/>
  <c r="X47" i="6"/>
  <c r="D34" i="6"/>
  <c r="R20" i="6"/>
  <c r="P20" i="6"/>
  <c r="Q20" i="6" s="1"/>
  <c r="P51" i="6"/>
  <c r="Q51" i="6" s="1"/>
  <c r="R51" i="6"/>
  <c r="P15" i="6"/>
  <c r="Q15" i="6" s="1"/>
  <c r="R15" i="6"/>
  <c r="R45" i="6"/>
  <c r="P45" i="6"/>
  <c r="Q45" i="6" s="1"/>
  <c r="R49" i="6"/>
  <c r="P49" i="6"/>
  <c r="Q49" i="6" s="1"/>
  <c r="V49" i="6"/>
  <c r="W49" i="6" s="1"/>
  <c r="X49" i="6"/>
  <c r="X51" i="6"/>
  <c r="V51" i="6"/>
  <c r="W51" i="6" s="1"/>
  <c r="R53" i="6"/>
  <c r="P53" i="6"/>
  <c r="Q53" i="6" s="1"/>
  <c r="P54" i="6"/>
  <c r="Q54" i="6" s="1"/>
  <c r="R54" i="6"/>
  <c r="T21" i="6"/>
  <c r="S21" i="6" s="1"/>
  <c r="T29" i="6"/>
  <c r="S29" i="6" s="1"/>
  <c r="E25" i="6"/>
  <c r="G25" i="6" s="1"/>
  <c r="H25" i="6" s="1"/>
  <c r="E62" i="6"/>
  <c r="G62" i="6" s="1"/>
  <c r="H62" i="6" s="1"/>
  <c r="N61" i="6"/>
  <c r="M61" i="6" s="1"/>
  <c r="I61" i="6"/>
  <c r="K61" i="6" s="1"/>
  <c r="L61" i="6" s="1"/>
  <c r="P13" i="6"/>
  <c r="Q13" i="6" s="1"/>
  <c r="R13" i="6"/>
  <c r="V20" i="6"/>
  <c r="W20" i="6" s="1"/>
  <c r="X20" i="6"/>
  <c r="V43" i="6"/>
  <c r="W43" i="6" s="1"/>
  <c r="X43" i="6"/>
  <c r="U27" i="6"/>
  <c r="O27" i="6"/>
  <c r="J27" i="6"/>
  <c r="F27" i="6"/>
  <c r="D32" i="6"/>
  <c r="P55" i="6"/>
  <c r="Q55" i="6" s="1"/>
  <c r="R55" i="6"/>
  <c r="P50" i="6"/>
  <c r="Q50" i="6" s="1"/>
  <c r="R50" i="6"/>
  <c r="T27" i="6"/>
  <c r="S27" i="6" s="1"/>
  <c r="D64" i="6"/>
  <c r="U59" i="6"/>
  <c r="O59" i="6"/>
  <c r="F59" i="6"/>
  <c r="J59" i="6"/>
  <c r="J62" i="6"/>
  <c r="F62" i="6"/>
  <c r="D67" i="6"/>
  <c r="U62" i="6"/>
  <c r="O62" i="6"/>
  <c r="U25" i="6"/>
  <c r="O25" i="6"/>
  <c r="F25" i="6"/>
  <c r="D30" i="6"/>
  <c r="J25" i="6"/>
  <c r="U21" i="6"/>
  <c r="O21" i="6"/>
  <c r="J21" i="6"/>
  <c r="F21" i="6"/>
  <c r="D26" i="6"/>
  <c r="V44" i="6"/>
  <c r="W44" i="6" s="1"/>
  <c r="X44" i="6"/>
  <c r="X50" i="6"/>
  <c r="V50" i="6"/>
  <c r="W50" i="6" s="1"/>
  <c r="R22" i="6"/>
  <c r="P22" i="6"/>
  <c r="Q22" i="6" s="1"/>
  <c r="N27" i="6"/>
  <c r="M27" i="6" s="1"/>
  <c r="O60" i="6"/>
  <c r="J60" i="6"/>
  <c r="F60" i="6"/>
  <c r="D65" i="6"/>
  <c r="U60" i="6"/>
  <c r="V45" i="6"/>
  <c r="W45" i="6" s="1"/>
  <c r="X45" i="6"/>
  <c r="X54" i="6"/>
  <c r="V54" i="6"/>
  <c r="W54" i="6" s="1"/>
  <c r="X55" i="6"/>
  <c r="V55" i="6"/>
  <c r="W55" i="6" s="1"/>
  <c r="X56" i="6"/>
  <c r="V56" i="6"/>
  <c r="W56" i="6" s="1"/>
  <c r="R10" i="6"/>
  <c r="P10" i="6"/>
  <c r="Q10" i="6" s="1"/>
  <c r="R14" i="6"/>
  <c r="P14" i="6"/>
  <c r="Q14" i="6" s="1"/>
  <c r="P19" i="6"/>
  <c r="Q19" i="6" s="1"/>
  <c r="R19" i="6"/>
  <c r="E27" i="6"/>
  <c r="G27" i="6" s="1"/>
  <c r="H27" i="6" s="1"/>
  <c r="E61" i="6"/>
  <c r="G61" i="6" s="1"/>
  <c r="H61" i="6" s="1"/>
  <c r="N59" i="6"/>
  <c r="M59" i="6" s="1"/>
  <c r="Y21" i="6"/>
  <c r="Y25" i="6"/>
  <c r="D58" i="6"/>
  <c r="J53" i="6"/>
  <c r="F53" i="6"/>
  <c r="U53" i="6"/>
  <c r="O53" i="6"/>
  <c r="U23" i="6"/>
  <c r="O23" i="6"/>
  <c r="D28" i="6"/>
  <c r="J23" i="6"/>
  <c r="F23" i="6"/>
  <c r="N23" i="6"/>
  <c r="M23" i="6" s="1"/>
  <c r="N25" i="6"/>
  <c r="M25" i="6" s="1"/>
  <c r="R11" i="6"/>
  <c r="P11" i="6"/>
  <c r="Q11" i="6" s="1"/>
  <c r="P12" i="6"/>
  <c r="Q12" i="6" s="1"/>
  <c r="R12" i="6"/>
  <c r="R48" i="6"/>
  <c r="P48" i="6"/>
  <c r="Q48" i="6" s="1"/>
  <c r="T25" i="6"/>
  <c r="S25" i="6" s="1"/>
  <c r="T62" i="6"/>
  <c r="S62" i="6" s="1"/>
  <c r="T61" i="6"/>
  <c r="S61" i="6" s="1"/>
  <c r="E21" i="6"/>
  <c r="G21" i="6" s="1"/>
  <c r="H21" i="6" s="1"/>
  <c r="I23" i="6"/>
  <c r="K23" i="6" s="1"/>
  <c r="L23" i="6" s="1"/>
  <c r="I27" i="6"/>
  <c r="K27" i="6" s="1"/>
  <c r="L27" i="6" s="1"/>
  <c r="I59" i="6"/>
  <c r="K59" i="6" s="1"/>
  <c r="L59" i="6" s="1"/>
  <c r="D28" i="4" a="1"/>
  <c r="D28" i="4" s="1"/>
  <c r="F28" i="4" a="1"/>
  <c r="F28" i="4" s="1"/>
  <c r="G28" i="4" a="1"/>
  <c r="G28" i="4" s="1"/>
  <c r="O28" i="4" a="1"/>
  <c r="O28" i="4" s="1"/>
  <c r="P28" i="4" a="1"/>
  <c r="P28" i="4" s="1"/>
  <c r="Q28" i="4" a="1"/>
  <c r="Q28" i="4" s="1"/>
  <c r="R28" i="4" a="1"/>
  <c r="R28" i="4" s="1"/>
  <c r="Z28" i="4" a="1"/>
  <c r="Z28" i="4" s="1"/>
  <c r="AA28" i="4" a="1"/>
  <c r="AA28" i="4" s="1"/>
  <c r="AB28" i="4" a="1"/>
  <c r="AB28" i="4" s="1"/>
  <c r="AC28" i="4" a="1"/>
  <c r="AC28" i="4" s="1"/>
  <c r="AJ28" i="4" a="1"/>
  <c r="AJ28" i="4" s="1"/>
  <c r="AK28" i="4" a="1"/>
  <c r="AK28" i="4" s="1"/>
  <c r="AL28" i="4" a="1"/>
  <c r="AL28" i="4" s="1"/>
  <c r="AM28" i="4" a="1"/>
  <c r="AM28" i="4" s="1"/>
  <c r="AN28" i="4" a="1"/>
  <c r="AN28" i="4" s="1"/>
  <c r="AU28" i="4" a="1"/>
  <c r="AU28" i="4" s="1"/>
  <c r="AV28" i="4" a="1"/>
  <c r="AV28" i="4" s="1"/>
  <c r="AW28" i="4" a="1"/>
  <c r="AW28" i="4" s="1"/>
  <c r="AX28" i="4" a="1"/>
  <c r="AX28" i="4" s="1"/>
  <c r="AY28" i="4" a="1"/>
  <c r="AY28" i="4" s="1"/>
  <c r="BF28" i="4" a="1"/>
  <c r="BF28" i="4" s="1"/>
  <c r="BG28" i="4" a="1"/>
  <c r="BG28" i="4" s="1"/>
  <c r="BH28" i="4" a="1"/>
  <c r="BH28" i="4" s="1"/>
  <c r="BI28" i="4" a="1"/>
  <c r="BI28" i="4" s="1"/>
  <c r="BJ28" i="4" a="1"/>
  <c r="BJ28" i="4" s="1"/>
  <c r="C28" i="4" a="1"/>
  <c r="C28" i="4" s="1"/>
  <c r="I29" i="6" l="1"/>
  <c r="K29" i="6" s="1"/>
  <c r="L29" i="6" s="1"/>
  <c r="F29" i="6"/>
  <c r="N29" i="6"/>
  <c r="M29" i="6" s="1"/>
  <c r="R29" i="6" s="1"/>
  <c r="J29" i="6"/>
  <c r="Y29" i="6"/>
  <c r="O29" i="6"/>
  <c r="P21" i="6"/>
  <c r="Q21" i="6" s="1"/>
  <c r="E29" i="6"/>
  <c r="G29" i="6" s="1"/>
  <c r="H29" i="6" s="1"/>
  <c r="CS13" i="10"/>
  <c r="AB23" i="11" s="1"/>
  <c r="J56" i="11" s="1"/>
  <c r="X14" i="11"/>
  <c r="AE14" i="11"/>
  <c r="V14" i="11"/>
  <c r="X20" i="11"/>
  <c r="V20" i="11"/>
  <c r="AE35" i="11"/>
  <c r="X39" i="11"/>
  <c r="V39" i="11"/>
  <c r="AE39" i="11"/>
  <c r="X25" i="11"/>
  <c r="AE25" i="11"/>
  <c r="V25" i="11"/>
  <c r="X15" i="11"/>
  <c r="V15" i="11"/>
  <c r="AE15" i="11"/>
  <c r="X30" i="11"/>
  <c r="AE30" i="11"/>
  <c r="V30" i="11"/>
  <c r="AG27" i="11"/>
  <c r="AE27" i="11"/>
  <c r="AG13" i="11"/>
  <c r="AE13" i="11"/>
  <c r="X28" i="11"/>
  <c r="V28" i="11"/>
  <c r="X22" i="11"/>
  <c r="AE22" i="11"/>
  <c r="V22" i="11"/>
  <c r="AG33" i="11"/>
  <c r="AE33" i="11"/>
  <c r="X32" i="11"/>
  <c r="V32" i="11"/>
  <c r="X18" i="11"/>
  <c r="V18" i="11"/>
  <c r="AE18" i="11"/>
  <c r="AH25" i="11"/>
  <c r="J58" i="11"/>
  <c r="Y21" i="11"/>
  <c r="H54" i="11"/>
  <c r="AH14" i="11"/>
  <c r="J47" i="11"/>
  <c r="Y31" i="11"/>
  <c r="H64" i="11"/>
  <c r="Y27" i="11"/>
  <c r="H60" i="11"/>
  <c r="AH37" i="11"/>
  <c r="J70" i="11"/>
  <c r="AH34" i="11"/>
  <c r="J67" i="11"/>
  <c r="J72" i="11"/>
  <c r="Y41" i="11"/>
  <c r="H74" i="11"/>
  <c r="AH40" i="11"/>
  <c r="J73" i="11"/>
  <c r="AH29" i="11"/>
  <c r="J62" i="11"/>
  <c r="Y13" i="11"/>
  <c r="H46" i="11"/>
  <c r="Y33" i="11"/>
  <c r="H66" i="11"/>
  <c r="CS25" i="10"/>
  <c r="AB35" i="11" s="1"/>
  <c r="CN31" i="10"/>
  <c r="CO31" i="10" s="1"/>
  <c r="CP31" i="10" s="1"/>
  <c r="AD41" i="11" s="1"/>
  <c r="CQ17" i="10"/>
  <c r="AF27" i="11" s="1"/>
  <c r="CR17" i="10"/>
  <c r="AC27" i="11" s="1"/>
  <c r="AC35" i="11"/>
  <c r="CS5" i="10"/>
  <c r="AB15" i="11" s="1"/>
  <c r="AF35" i="11"/>
  <c r="CO21" i="10"/>
  <c r="CP21" i="10" s="1"/>
  <c r="AF23" i="11"/>
  <c r="BN14" i="10"/>
  <c r="S24" i="11" s="1"/>
  <c r="X24" i="6"/>
  <c r="AH39" i="11"/>
  <c r="BI26" i="10"/>
  <c r="BJ26" i="10" s="1"/>
  <c r="BK26" i="10" s="1"/>
  <c r="U36" i="11" s="1"/>
  <c r="AC15" i="11"/>
  <c r="AF15" i="11"/>
  <c r="CN11" i="10"/>
  <c r="CM11" i="10"/>
  <c r="CS23" i="10"/>
  <c r="AB33" i="11" s="1"/>
  <c r="AF33" i="11"/>
  <c r="AC33" i="11"/>
  <c r="CS20" i="10"/>
  <c r="AB30" i="11" s="1"/>
  <c r="BN13" i="10"/>
  <c r="S23" i="11" s="1"/>
  <c r="BN30" i="10"/>
  <c r="S40" i="11" s="1"/>
  <c r="BN19" i="10"/>
  <c r="S29" i="11" s="1"/>
  <c r="CN22" i="10"/>
  <c r="CM22" i="10"/>
  <c r="BL20" i="10"/>
  <c r="W30" i="11" s="1"/>
  <c r="BM22" i="10"/>
  <c r="T32" i="11" s="1"/>
  <c r="BL22" i="10"/>
  <c r="W32" i="11" s="1"/>
  <c r="CS16" i="10"/>
  <c r="AB26" i="11" s="1"/>
  <c r="CS6" i="10"/>
  <c r="AB16" i="11" s="1"/>
  <c r="BM18" i="10"/>
  <c r="T28" i="11" s="1"/>
  <c r="BL18" i="10"/>
  <c r="W28" i="11" s="1"/>
  <c r="BM10" i="10"/>
  <c r="T20" i="11" s="1"/>
  <c r="BN16" i="10"/>
  <c r="S26" i="11" s="1"/>
  <c r="BL15" i="10"/>
  <c r="W25" i="11" s="1"/>
  <c r="BL12" i="10"/>
  <c r="W22" i="11" s="1"/>
  <c r="BN6" i="10"/>
  <c r="S16" i="11" s="1"/>
  <c r="BL10" i="10"/>
  <c r="W20" i="11" s="1"/>
  <c r="BN28" i="10"/>
  <c r="S38" i="11" s="1"/>
  <c r="BM20" i="10"/>
  <c r="T30" i="11" s="1"/>
  <c r="BN27" i="10"/>
  <c r="S37" i="11" s="1"/>
  <c r="BM15" i="10"/>
  <c r="T25" i="11" s="1"/>
  <c r="CS9" i="10"/>
  <c r="AB19" i="11" s="1"/>
  <c r="BN25" i="10"/>
  <c r="S35" i="11" s="1"/>
  <c r="BM12" i="10"/>
  <c r="T22" i="11" s="1"/>
  <c r="BJ24" i="10"/>
  <c r="BK24" i="10" s="1"/>
  <c r="U34" i="11" s="1"/>
  <c r="CS7" i="10"/>
  <c r="AB17" i="11" s="1"/>
  <c r="CS8" i="10"/>
  <c r="AB18" i="11" s="1"/>
  <c r="CO18" i="10"/>
  <c r="CP18" i="10" s="1"/>
  <c r="AD28" i="11" s="1"/>
  <c r="AG28" i="11" s="1"/>
  <c r="BN9" i="10"/>
  <c r="S19" i="11" s="1"/>
  <c r="CO14" i="10"/>
  <c r="CP14" i="10" s="1"/>
  <c r="BM8" i="10"/>
  <c r="T18" i="11" s="1"/>
  <c r="BL8" i="10"/>
  <c r="W18" i="11" s="1"/>
  <c r="CS28" i="10"/>
  <c r="AB38" i="11" s="1"/>
  <c r="BL5" i="10"/>
  <c r="W15" i="11" s="1"/>
  <c r="BM5" i="10"/>
  <c r="T15" i="11" s="1"/>
  <c r="BL4" i="10"/>
  <c r="W14" i="11" s="1"/>
  <c r="BM4" i="10"/>
  <c r="T14" i="11" s="1"/>
  <c r="BL29" i="10"/>
  <c r="W39" i="11" s="1"/>
  <c r="BM29" i="10"/>
  <c r="T39" i="11" s="1"/>
  <c r="CQ3" i="10"/>
  <c r="AF13" i="11" s="1"/>
  <c r="CR3" i="10"/>
  <c r="AC13" i="11" s="1"/>
  <c r="CR12" i="10"/>
  <c r="AC22" i="11" s="1"/>
  <c r="CQ12" i="10"/>
  <c r="AF22" i="11" s="1"/>
  <c r="CQ26" i="10"/>
  <c r="AF36" i="11" s="1"/>
  <c r="CR26" i="10"/>
  <c r="AC36" i="11" s="1"/>
  <c r="CO10" i="10"/>
  <c r="CP10" i="10" s="1"/>
  <c r="AD20" i="11" s="1"/>
  <c r="AG20" i="11" s="1"/>
  <c r="V53" i="6"/>
  <c r="W53" i="6" s="1"/>
  <c r="X60" i="6"/>
  <c r="R60" i="6"/>
  <c r="D39" i="6"/>
  <c r="J34" i="6"/>
  <c r="F34" i="6"/>
  <c r="U34" i="6"/>
  <c r="O34" i="6"/>
  <c r="Y34" i="6"/>
  <c r="N34" i="6"/>
  <c r="M34" i="6" s="1"/>
  <c r="T34" i="6"/>
  <c r="S34" i="6" s="1"/>
  <c r="I34" i="6"/>
  <c r="K34" i="6" s="1"/>
  <c r="L34" i="6" s="1"/>
  <c r="E34" i="6"/>
  <c r="G34" i="6" s="1"/>
  <c r="H34" i="6" s="1"/>
  <c r="V61" i="6"/>
  <c r="W61" i="6" s="1"/>
  <c r="X61" i="6"/>
  <c r="P29" i="6"/>
  <c r="Q29" i="6" s="1"/>
  <c r="X21" i="6"/>
  <c r="V21" i="6"/>
  <c r="W21" i="6" s="1"/>
  <c r="V62" i="6"/>
  <c r="W62" i="6" s="1"/>
  <c r="X62" i="6"/>
  <c r="P25" i="6"/>
  <c r="Q25" i="6" s="1"/>
  <c r="R25" i="6"/>
  <c r="O28" i="6"/>
  <c r="D33" i="6"/>
  <c r="J28" i="6"/>
  <c r="F28" i="6"/>
  <c r="U28" i="6"/>
  <c r="E28" i="6"/>
  <c r="G28" i="6" s="1"/>
  <c r="H28" i="6" s="1"/>
  <c r="T28" i="6"/>
  <c r="S28" i="6" s="1"/>
  <c r="N28" i="6"/>
  <c r="M28" i="6" s="1"/>
  <c r="I28" i="6"/>
  <c r="K28" i="6" s="1"/>
  <c r="L28" i="6" s="1"/>
  <c r="Y28" i="6"/>
  <c r="O26" i="6"/>
  <c r="D31" i="6"/>
  <c r="J26" i="6"/>
  <c r="F26" i="6"/>
  <c r="U26" i="6"/>
  <c r="Y26" i="6"/>
  <c r="I26" i="6"/>
  <c r="K26" i="6" s="1"/>
  <c r="L26" i="6" s="1"/>
  <c r="E26" i="6"/>
  <c r="G26" i="6" s="1"/>
  <c r="H26" i="6" s="1"/>
  <c r="T26" i="6"/>
  <c r="S26" i="6" s="1"/>
  <c r="N26" i="6"/>
  <c r="M26" i="6" s="1"/>
  <c r="D72" i="6"/>
  <c r="U67" i="6"/>
  <c r="O67" i="6"/>
  <c r="F67" i="6"/>
  <c r="J67" i="6"/>
  <c r="N67" i="6"/>
  <c r="M67" i="6" s="1"/>
  <c r="T67" i="6"/>
  <c r="S67" i="6" s="1"/>
  <c r="E67" i="6"/>
  <c r="G67" i="6" s="1"/>
  <c r="H67" i="6" s="1"/>
  <c r="I67" i="6"/>
  <c r="K67" i="6" s="1"/>
  <c r="L67" i="6" s="1"/>
  <c r="X27" i="6"/>
  <c r="V27" i="6"/>
  <c r="W27" i="6" s="1"/>
  <c r="J66" i="6"/>
  <c r="F66" i="6"/>
  <c r="D71" i="6"/>
  <c r="U66" i="6"/>
  <c r="O66" i="6"/>
  <c r="N66" i="6"/>
  <c r="M66" i="6" s="1"/>
  <c r="E66" i="6"/>
  <c r="G66" i="6" s="1"/>
  <c r="H66" i="6" s="1"/>
  <c r="I66" i="6"/>
  <c r="K66" i="6" s="1"/>
  <c r="L66" i="6" s="1"/>
  <c r="T66" i="6"/>
  <c r="S66" i="6" s="1"/>
  <c r="P59" i="6"/>
  <c r="Q59" i="6" s="1"/>
  <c r="R59" i="6"/>
  <c r="D35" i="6"/>
  <c r="O30" i="6"/>
  <c r="J30" i="6"/>
  <c r="F30" i="6"/>
  <c r="U30" i="6"/>
  <c r="Y30" i="6"/>
  <c r="N30" i="6"/>
  <c r="M30" i="6" s="1"/>
  <c r="I30" i="6"/>
  <c r="K30" i="6" s="1"/>
  <c r="L30" i="6" s="1"/>
  <c r="T30" i="6"/>
  <c r="S30" i="6" s="1"/>
  <c r="E30" i="6"/>
  <c r="G30" i="6" s="1"/>
  <c r="H30" i="6" s="1"/>
  <c r="X29" i="6"/>
  <c r="V29" i="6"/>
  <c r="W29" i="6" s="1"/>
  <c r="J58" i="6"/>
  <c r="F58" i="6"/>
  <c r="D63" i="6"/>
  <c r="U58" i="6"/>
  <c r="O58" i="6"/>
  <c r="I58" i="6"/>
  <c r="K58" i="6" s="1"/>
  <c r="L58" i="6" s="1"/>
  <c r="T58" i="6"/>
  <c r="S58" i="6" s="1"/>
  <c r="N58" i="6"/>
  <c r="M58" i="6" s="1"/>
  <c r="E58" i="6"/>
  <c r="G58" i="6" s="1"/>
  <c r="H58" i="6" s="1"/>
  <c r="O64" i="6"/>
  <c r="F64" i="6"/>
  <c r="D69" i="6"/>
  <c r="U64" i="6"/>
  <c r="J64" i="6"/>
  <c r="N64" i="6"/>
  <c r="M64" i="6" s="1"/>
  <c r="E64" i="6"/>
  <c r="G64" i="6" s="1"/>
  <c r="H64" i="6" s="1"/>
  <c r="T64" i="6"/>
  <c r="S64" i="6" s="1"/>
  <c r="I64" i="6"/>
  <c r="K64" i="6" s="1"/>
  <c r="L64" i="6" s="1"/>
  <c r="R61" i="6"/>
  <c r="P61" i="6"/>
  <c r="Q61" i="6" s="1"/>
  <c r="X25" i="6"/>
  <c r="V25" i="6"/>
  <c r="W25" i="6" s="1"/>
  <c r="P23" i="6"/>
  <c r="Q23" i="6" s="1"/>
  <c r="R23" i="6"/>
  <c r="O65" i="6"/>
  <c r="J65" i="6"/>
  <c r="F65" i="6"/>
  <c r="D70" i="6"/>
  <c r="U65" i="6"/>
  <c r="E65" i="6"/>
  <c r="G65" i="6" s="1"/>
  <c r="H65" i="6" s="1"/>
  <c r="N65" i="6"/>
  <c r="M65" i="6" s="1"/>
  <c r="T65" i="6"/>
  <c r="S65" i="6" s="1"/>
  <c r="I65" i="6"/>
  <c r="K65" i="6" s="1"/>
  <c r="L65" i="6" s="1"/>
  <c r="P27" i="6"/>
  <c r="Q27" i="6" s="1"/>
  <c r="R27" i="6"/>
  <c r="D37" i="6"/>
  <c r="O32" i="6"/>
  <c r="J32" i="6"/>
  <c r="F32" i="6"/>
  <c r="U32" i="6"/>
  <c r="T32" i="6"/>
  <c r="S32" i="6" s="1"/>
  <c r="N32" i="6"/>
  <c r="M32" i="6" s="1"/>
  <c r="Y32" i="6"/>
  <c r="E32" i="6"/>
  <c r="G32" i="6" s="1"/>
  <c r="H32" i="6" s="1"/>
  <c r="I32" i="6"/>
  <c r="K32" i="6" s="1"/>
  <c r="L32" i="6" s="1"/>
  <c r="AH23" i="11" l="1"/>
  <c r="X36" i="11"/>
  <c r="V36" i="11"/>
  <c r="AE36" i="11"/>
  <c r="AG41" i="11"/>
  <c r="AE41" i="11"/>
  <c r="X34" i="11"/>
  <c r="V34" i="11"/>
  <c r="AE34" i="11"/>
  <c r="AE20" i="11"/>
  <c r="J66" i="11"/>
  <c r="AE28" i="11"/>
  <c r="Y19" i="11"/>
  <c r="H52" i="11"/>
  <c r="Y23" i="11"/>
  <c r="H56" i="11"/>
  <c r="Y35" i="11"/>
  <c r="H68" i="11"/>
  <c r="AH30" i="11"/>
  <c r="J63" i="11"/>
  <c r="J48" i="11"/>
  <c r="Y37" i="11"/>
  <c r="H70" i="11"/>
  <c r="Y16" i="11"/>
  <c r="H49" i="11"/>
  <c r="AH26" i="11"/>
  <c r="J59" i="11"/>
  <c r="Y24" i="11"/>
  <c r="H57" i="11"/>
  <c r="AH18" i="11"/>
  <c r="J51" i="11"/>
  <c r="AH17" i="11"/>
  <c r="J50" i="11"/>
  <c r="AH19" i="11"/>
  <c r="J52" i="11"/>
  <c r="Y38" i="11"/>
  <c r="H71" i="11"/>
  <c r="Y29" i="11"/>
  <c r="H62" i="11"/>
  <c r="J68" i="11"/>
  <c r="AH38" i="11"/>
  <c r="J71" i="11"/>
  <c r="Y26" i="11"/>
  <c r="H59" i="11"/>
  <c r="AH16" i="11"/>
  <c r="J49" i="11"/>
  <c r="Y40" i="11"/>
  <c r="H73" i="11"/>
  <c r="AH35" i="11"/>
  <c r="CS17" i="10"/>
  <c r="AB27" i="11" s="1"/>
  <c r="CR31" i="10"/>
  <c r="AC41" i="11" s="1"/>
  <c r="CQ31" i="10"/>
  <c r="AD31" i="11"/>
  <c r="CQ21" i="10"/>
  <c r="CR21" i="10"/>
  <c r="AH15" i="11"/>
  <c r="CQ14" i="10"/>
  <c r="AD24" i="11"/>
  <c r="AH33" i="11"/>
  <c r="CO11" i="10"/>
  <c r="CP11" i="10" s="1"/>
  <c r="BN22" i="10"/>
  <c r="S32" i="11" s="1"/>
  <c r="CO22" i="10"/>
  <c r="CP22" i="10" s="1"/>
  <c r="AD32" i="11" s="1"/>
  <c r="BL24" i="10"/>
  <c r="W34" i="11" s="1"/>
  <c r="CR14" i="10"/>
  <c r="BN18" i="10"/>
  <c r="S28" i="11" s="1"/>
  <c r="BN20" i="10"/>
  <c r="S30" i="11" s="1"/>
  <c r="BM26" i="10"/>
  <c r="T36" i="11" s="1"/>
  <c r="BL26" i="10"/>
  <c r="W36" i="11" s="1"/>
  <c r="BN10" i="10"/>
  <c r="S20" i="11" s="1"/>
  <c r="BN15" i="10"/>
  <c r="S25" i="11" s="1"/>
  <c r="BN12" i="10"/>
  <c r="S22" i="11" s="1"/>
  <c r="CQ18" i="10"/>
  <c r="AF28" i="11" s="1"/>
  <c r="BM24" i="10"/>
  <c r="T34" i="11" s="1"/>
  <c r="CR18" i="10"/>
  <c r="AC28" i="11" s="1"/>
  <c r="CS3" i="10"/>
  <c r="AB13" i="11" s="1"/>
  <c r="CS26" i="10"/>
  <c r="AB36" i="11" s="1"/>
  <c r="BN8" i="10"/>
  <c r="S18" i="11" s="1"/>
  <c r="BN29" i="10"/>
  <c r="S39" i="11" s="1"/>
  <c r="BN4" i="10"/>
  <c r="S14" i="11" s="1"/>
  <c r="CS12" i="10"/>
  <c r="AB22" i="11" s="1"/>
  <c r="CR10" i="10"/>
  <c r="AC20" i="11" s="1"/>
  <c r="CQ10" i="10"/>
  <c r="AF20" i="11" s="1"/>
  <c r="BN5" i="10"/>
  <c r="S15" i="11" s="1"/>
  <c r="R28" i="6"/>
  <c r="P28" i="6"/>
  <c r="Q28" i="6" s="1"/>
  <c r="V34" i="6"/>
  <c r="W34" i="6" s="1"/>
  <c r="X34" i="6"/>
  <c r="X64" i="6"/>
  <c r="V64" i="6"/>
  <c r="W64" i="6" s="1"/>
  <c r="O35" i="6"/>
  <c r="J35" i="6"/>
  <c r="F35" i="6"/>
  <c r="U35" i="6"/>
  <c r="N35" i="6"/>
  <c r="M35" i="6" s="1"/>
  <c r="E35" i="6"/>
  <c r="G35" i="6" s="1"/>
  <c r="H35" i="6" s="1"/>
  <c r="Y35" i="6"/>
  <c r="T35" i="6"/>
  <c r="S35" i="6" s="1"/>
  <c r="I35" i="6"/>
  <c r="K35" i="6" s="1"/>
  <c r="L35" i="6" s="1"/>
  <c r="X67" i="6"/>
  <c r="V67" i="6"/>
  <c r="W67" i="6" s="1"/>
  <c r="J70" i="6"/>
  <c r="F70" i="6"/>
  <c r="U70" i="6"/>
  <c r="O70" i="6"/>
  <c r="N70" i="6"/>
  <c r="M70" i="6" s="1"/>
  <c r="E70" i="6"/>
  <c r="G70" i="6" s="1"/>
  <c r="H70" i="6" s="1"/>
  <c r="I70" i="6"/>
  <c r="K70" i="6" s="1"/>
  <c r="L70" i="6" s="1"/>
  <c r="T70" i="6"/>
  <c r="S70" i="6" s="1"/>
  <c r="O69" i="6"/>
  <c r="J69" i="6"/>
  <c r="F69" i="6"/>
  <c r="U69" i="6"/>
  <c r="I69" i="6"/>
  <c r="K69" i="6" s="1"/>
  <c r="L69" i="6" s="1"/>
  <c r="N69" i="6"/>
  <c r="M69" i="6" s="1"/>
  <c r="E69" i="6"/>
  <c r="G69" i="6" s="1"/>
  <c r="H69" i="6" s="1"/>
  <c r="T69" i="6"/>
  <c r="S69" i="6" s="1"/>
  <c r="R58" i="6"/>
  <c r="P58" i="6"/>
  <c r="Q58" i="6" s="1"/>
  <c r="U71" i="6"/>
  <c r="J71" i="6"/>
  <c r="O71" i="6"/>
  <c r="F71" i="6"/>
  <c r="E71" i="6"/>
  <c r="G71" i="6" s="1"/>
  <c r="H71" i="6" s="1"/>
  <c r="I71" i="6"/>
  <c r="K71" i="6" s="1"/>
  <c r="L71" i="6" s="1"/>
  <c r="N71" i="6"/>
  <c r="M71" i="6" s="1"/>
  <c r="T71" i="6"/>
  <c r="S71" i="6" s="1"/>
  <c r="P67" i="6"/>
  <c r="Q67" i="6" s="1"/>
  <c r="R67" i="6"/>
  <c r="D38" i="6"/>
  <c r="J33" i="6"/>
  <c r="O33" i="6"/>
  <c r="U33" i="6"/>
  <c r="F33" i="6"/>
  <c r="Y33" i="6"/>
  <c r="I33" i="6"/>
  <c r="K33" i="6" s="1"/>
  <c r="L33" i="6" s="1"/>
  <c r="N33" i="6"/>
  <c r="M33" i="6" s="1"/>
  <c r="E33" i="6"/>
  <c r="G33" i="6" s="1"/>
  <c r="H33" i="6" s="1"/>
  <c r="T33" i="6"/>
  <c r="S33" i="6" s="1"/>
  <c r="R32" i="6"/>
  <c r="P32" i="6"/>
  <c r="Q32" i="6" s="1"/>
  <c r="V66" i="6"/>
  <c r="W66" i="6" s="1"/>
  <c r="X66" i="6"/>
  <c r="R26" i="6"/>
  <c r="P26" i="6"/>
  <c r="Q26" i="6" s="1"/>
  <c r="D36" i="6"/>
  <c r="U31" i="6"/>
  <c r="O31" i="6"/>
  <c r="J31" i="6"/>
  <c r="F31" i="6"/>
  <c r="I31" i="6"/>
  <c r="K31" i="6" s="1"/>
  <c r="L31" i="6" s="1"/>
  <c r="T31" i="6"/>
  <c r="S31" i="6" s="1"/>
  <c r="N31" i="6"/>
  <c r="M31" i="6" s="1"/>
  <c r="Y31" i="6"/>
  <c r="E31" i="6"/>
  <c r="G31" i="6" s="1"/>
  <c r="H31" i="6" s="1"/>
  <c r="V32" i="6"/>
  <c r="W32" i="6" s="1"/>
  <c r="X32" i="6"/>
  <c r="V30" i="6"/>
  <c r="W30" i="6" s="1"/>
  <c r="X30" i="6"/>
  <c r="V26" i="6"/>
  <c r="W26" i="6" s="1"/>
  <c r="X26" i="6"/>
  <c r="V28" i="6"/>
  <c r="W28" i="6" s="1"/>
  <c r="X28" i="6"/>
  <c r="R34" i="6"/>
  <c r="P34" i="6"/>
  <c r="Q34" i="6" s="1"/>
  <c r="O37" i="6"/>
  <c r="J37" i="6"/>
  <c r="F37" i="6"/>
  <c r="U37" i="6"/>
  <c r="Y37" i="6"/>
  <c r="N37" i="6"/>
  <c r="M37" i="6" s="1"/>
  <c r="E37" i="6"/>
  <c r="G37" i="6" s="1"/>
  <c r="H37" i="6" s="1"/>
  <c r="I37" i="6"/>
  <c r="K37" i="6" s="1"/>
  <c r="L37" i="6" s="1"/>
  <c r="T37" i="6"/>
  <c r="S37" i="6" s="1"/>
  <c r="V65" i="6"/>
  <c r="W65" i="6" s="1"/>
  <c r="X65" i="6"/>
  <c r="R65" i="6"/>
  <c r="P65" i="6"/>
  <c r="Q65" i="6" s="1"/>
  <c r="P64" i="6"/>
  <c r="Q64" i="6" s="1"/>
  <c r="R64" i="6"/>
  <c r="V58" i="6"/>
  <c r="W58" i="6" s="1"/>
  <c r="X58" i="6"/>
  <c r="D68" i="6"/>
  <c r="U63" i="6"/>
  <c r="J63" i="6"/>
  <c r="O63" i="6"/>
  <c r="F63" i="6"/>
  <c r="N63" i="6"/>
  <c r="M63" i="6" s="1"/>
  <c r="T63" i="6"/>
  <c r="S63" i="6" s="1"/>
  <c r="E63" i="6"/>
  <c r="G63" i="6" s="1"/>
  <c r="H63" i="6" s="1"/>
  <c r="I63" i="6"/>
  <c r="K63" i="6" s="1"/>
  <c r="L63" i="6" s="1"/>
  <c r="R30" i="6"/>
  <c r="P30" i="6"/>
  <c r="Q30" i="6" s="1"/>
  <c r="R66" i="6"/>
  <c r="P66" i="6"/>
  <c r="Q66" i="6" s="1"/>
  <c r="O72" i="6"/>
  <c r="F72" i="6"/>
  <c r="U72" i="6"/>
  <c r="J72" i="6"/>
  <c r="N72" i="6"/>
  <c r="M72" i="6" s="1"/>
  <c r="E72" i="6"/>
  <c r="G72" i="6" s="1"/>
  <c r="H72" i="6" s="1"/>
  <c r="T72" i="6"/>
  <c r="S72" i="6" s="1"/>
  <c r="I72" i="6"/>
  <c r="K72" i="6" s="1"/>
  <c r="L72" i="6" s="1"/>
  <c r="O39" i="6"/>
  <c r="J39" i="6"/>
  <c r="F39" i="6"/>
  <c r="U39" i="6"/>
  <c r="T39" i="6"/>
  <c r="S39" i="6" s="1"/>
  <c r="I39" i="6"/>
  <c r="K39" i="6" s="1"/>
  <c r="L39" i="6" s="1"/>
  <c r="E39" i="6"/>
  <c r="G39" i="6" s="1"/>
  <c r="H39" i="6" s="1"/>
  <c r="N39" i="6"/>
  <c r="M39" i="6" s="1"/>
  <c r="Y39" i="6"/>
  <c r="AG31" i="11" l="1"/>
  <c r="AE31" i="11"/>
  <c r="AG32" i="11"/>
  <c r="AE32" i="11"/>
  <c r="AG24" i="11"/>
  <c r="AE24" i="11"/>
  <c r="Y15" i="11"/>
  <c r="H48" i="11"/>
  <c r="AH13" i="11"/>
  <c r="J46" i="11"/>
  <c r="Y22" i="11"/>
  <c r="H55" i="11"/>
  <c r="AH22" i="11"/>
  <c r="J55" i="11"/>
  <c r="Y14" i="11"/>
  <c r="H47" i="11"/>
  <c r="Y39" i="11"/>
  <c r="H72" i="11"/>
  <c r="Y25" i="11"/>
  <c r="H58" i="11"/>
  <c r="Y30" i="11"/>
  <c r="H63" i="11"/>
  <c r="AH27" i="11"/>
  <c r="J60" i="11"/>
  <c r="AH36" i="11"/>
  <c r="J69" i="11"/>
  <c r="Y18" i="11"/>
  <c r="H51" i="11"/>
  <c r="Y20" i="11"/>
  <c r="H53" i="11"/>
  <c r="Y28" i="11"/>
  <c r="H61" i="11"/>
  <c r="Y32" i="11"/>
  <c r="H65" i="11"/>
  <c r="CS31" i="10"/>
  <c r="AB41" i="11" s="1"/>
  <c r="AF41" i="11"/>
  <c r="AC31" i="11"/>
  <c r="CS21" i="10"/>
  <c r="AB31" i="11" s="1"/>
  <c r="AF31" i="11"/>
  <c r="AD21" i="11"/>
  <c r="CR11" i="10"/>
  <c r="CQ11" i="10"/>
  <c r="AC24" i="11"/>
  <c r="AF24" i="11"/>
  <c r="BN24" i="10"/>
  <c r="S34" i="11" s="1"/>
  <c r="CQ22" i="10"/>
  <c r="AF32" i="11" s="1"/>
  <c r="CR22" i="10"/>
  <c r="AC32" i="11" s="1"/>
  <c r="CS14" i="10"/>
  <c r="AB24" i="11" s="1"/>
  <c r="BN26" i="10"/>
  <c r="S36" i="11" s="1"/>
  <c r="CS18" i="10"/>
  <c r="AB28" i="11" s="1"/>
  <c r="CS10" i="10"/>
  <c r="AB20" i="11" s="1"/>
  <c r="O68" i="6"/>
  <c r="J68" i="6"/>
  <c r="F68" i="6"/>
  <c r="U68" i="6"/>
  <c r="I68" i="6"/>
  <c r="K68" i="6" s="1"/>
  <c r="L68" i="6" s="1"/>
  <c r="E68" i="6"/>
  <c r="G68" i="6" s="1"/>
  <c r="H68" i="6" s="1"/>
  <c r="T68" i="6"/>
  <c r="S68" i="6" s="1"/>
  <c r="N68" i="6"/>
  <c r="M68" i="6" s="1"/>
  <c r="P37" i="6"/>
  <c r="Q37" i="6" s="1"/>
  <c r="R37" i="6"/>
  <c r="X33" i="6"/>
  <c r="V33" i="6"/>
  <c r="W33" i="6" s="1"/>
  <c r="X71" i="6"/>
  <c r="V71" i="6"/>
  <c r="W71" i="6" s="1"/>
  <c r="R69" i="6"/>
  <c r="P69" i="6"/>
  <c r="Q69" i="6" s="1"/>
  <c r="P35" i="6"/>
  <c r="Q35" i="6" s="1"/>
  <c r="R35" i="6"/>
  <c r="X39" i="6"/>
  <c r="V39" i="6"/>
  <c r="W39" i="6" s="1"/>
  <c r="P63" i="6"/>
  <c r="Q63" i="6" s="1"/>
  <c r="R63" i="6"/>
  <c r="X31" i="6"/>
  <c r="V31" i="6"/>
  <c r="W31" i="6" s="1"/>
  <c r="P39" i="6"/>
  <c r="Q39" i="6" s="1"/>
  <c r="R39" i="6"/>
  <c r="X72" i="6"/>
  <c r="V72" i="6"/>
  <c r="W72" i="6" s="1"/>
  <c r="X37" i="6"/>
  <c r="V37" i="6"/>
  <c r="W37" i="6" s="1"/>
  <c r="J36" i="6"/>
  <c r="F36" i="6"/>
  <c r="U36" i="6"/>
  <c r="O36" i="6"/>
  <c r="Y36" i="6"/>
  <c r="E36" i="6"/>
  <c r="G36" i="6" s="1"/>
  <c r="H36" i="6" s="1"/>
  <c r="I36" i="6"/>
  <c r="K36" i="6" s="1"/>
  <c r="L36" i="6" s="1"/>
  <c r="N36" i="6"/>
  <c r="M36" i="6" s="1"/>
  <c r="T36" i="6"/>
  <c r="S36" i="6" s="1"/>
  <c r="J38" i="6"/>
  <c r="F38" i="6"/>
  <c r="U38" i="6"/>
  <c r="O38" i="6"/>
  <c r="Y38" i="6"/>
  <c r="E38" i="6"/>
  <c r="G38" i="6" s="1"/>
  <c r="H38" i="6" s="1"/>
  <c r="I38" i="6"/>
  <c r="K38" i="6" s="1"/>
  <c r="L38" i="6" s="1"/>
  <c r="N38" i="6"/>
  <c r="M38" i="6" s="1"/>
  <c r="T38" i="6"/>
  <c r="S38" i="6" s="1"/>
  <c r="P71" i="6"/>
  <c r="Q71" i="6" s="1"/>
  <c r="R71" i="6"/>
  <c r="R70" i="6"/>
  <c r="P70" i="6"/>
  <c r="Q70" i="6" s="1"/>
  <c r="X35" i="6"/>
  <c r="V35" i="6"/>
  <c r="W35" i="6" s="1"/>
  <c r="P72" i="6"/>
  <c r="Q72" i="6" s="1"/>
  <c r="R72" i="6"/>
  <c r="X63" i="6"/>
  <c r="V63" i="6"/>
  <c r="W63" i="6" s="1"/>
  <c r="P31" i="6"/>
  <c r="Q31" i="6" s="1"/>
  <c r="R31" i="6"/>
  <c r="R33" i="6"/>
  <c r="P33" i="6"/>
  <c r="Q33" i="6" s="1"/>
  <c r="V69" i="6"/>
  <c r="W69" i="6" s="1"/>
  <c r="X69" i="6"/>
  <c r="V70" i="6"/>
  <c r="W70" i="6" s="1"/>
  <c r="X70" i="6"/>
  <c r="CS11" i="10" l="1"/>
  <c r="AB21" i="11" s="1"/>
  <c r="J64" i="11"/>
  <c r="AG21" i="11"/>
  <c r="AE21" i="11"/>
  <c r="Y34" i="11"/>
  <c r="H67" i="11"/>
  <c r="Y36" i="11"/>
  <c r="H69" i="11"/>
  <c r="J57" i="11"/>
  <c r="AH28" i="11"/>
  <c r="J61" i="11"/>
  <c r="AH20" i="11"/>
  <c r="J53" i="11"/>
  <c r="AH41" i="11"/>
  <c r="J74" i="11"/>
  <c r="AH31" i="11"/>
  <c r="AH24" i="11"/>
  <c r="AF21" i="11"/>
  <c r="AC21" i="11"/>
  <c r="CS22" i="10"/>
  <c r="AB32" i="11" s="1"/>
  <c r="V38" i="6"/>
  <c r="W38" i="6" s="1"/>
  <c r="X38" i="6"/>
  <c r="P68" i="6"/>
  <c r="Q68" i="6" s="1"/>
  <c r="R68" i="6"/>
  <c r="R38" i="6"/>
  <c r="P38" i="6"/>
  <c r="Q38" i="6" s="1"/>
  <c r="R36" i="6"/>
  <c r="P36" i="6"/>
  <c r="Q36" i="6" s="1"/>
  <c r="V36" i="6"/>
  <c r="W36" i="6" s="1"/>
  <c r="X36" i="6"/>
  <c r="X68" i="6"/>
  <c r="V68" i="6"/>
  <c r="W68" i="6" s="1"/>
  <c r="J54" i="11" l="1"/>
  <c r="AH32" i="11"/>
  <c r="J65" i="11"/>
  <c r="AH21" i="11"/>
  <c r="U7" i="2" l="1"/>
  <c r="T8" i="2"/>
  <c r="U8" i="2" s="1"/>
  <c r="I7" i="2"/>
  <c r="H8" i="2"/>
  <c r="I8" i="2" s="1"/>
  <c r="H20" i="2" s="1"/>
  <c r="H20" i="15" s="1"/>
  <c r="U20" i="2" l="1"/>
  <c r="T20" i="2" s="1"/>
  <c r="Y20" i="15" s="1"/>
  <c r="AC42" i="2"/>
  <c r="AH42" i="15" s="1"/>
  <c r="AC40" i="2"/>
  <c r="AH40" i="15" s="1"/>
  <c r="AC28" i="2"/>
  <c r="AH28" i="15" s="1"/>
  <c r="AC21" i="2"/>
  <c r="AH21" i="15" s="1"/>
  <c r="AC23" i="2"/>
  <c r="AH23" i="15" s="1"/>
  <c r="AC31" i="2"/>
  <c r="AH31" i="15" s="1"/>
  <c r="AC27" i="2"/>
  <c r="AH27" i="15" s="1"/>
  <c r="AC43" i="2"/>
  <c r="AH43" i="15" s="1"/>
  <c r="AC36" i="2"/>
  <c r="AH36" i="15" s="1"/>
  <c r="AC29" i="2"/>
  <c r="AH29" i="15" s="1"/>
  <c r="AC17" i="2"/>
  <c r="AH17" i="15" s="1"/>
  <c r="AC44" i="2"/>
  <c r="AH44" i="15" s="1"/>
  <c r="AC32" i="2"/>
  <c r="AH32" i="15" s="1"/>
  <c r="AC30" i="2"/>
  <c r="AH30" i="15" s="1"/>
  <c r="AC18" i="2"/>
  <c r="AH18" i="15" s="1"/>
  <c r="AC16" i="2"/>
  <c r="AC38" i="2"/>
  <c r="AH38" i="15" s="1"/>
  <c r="AC25" i="2"/>
  <c r="AH25" i="15" s="1"/>
  <c r="AC45" i="2"/>
  <c r="AH45" i="15" s="1"/>
  <c r="AC33" i="2"/>
  <c r="AH33" i="15" s="1"/>
  <c r="AC26" i="2"/>
  <c r="AH26" i="15" s="1"/>
  <c r="AC19" i="2"/>
  <c r="AH19" i="15" s="1"/>
  <c r="AC41" i="2"/>
  <c r="AH41" i="15" s="1"/>
  <c r="AC34" i="2"/>
  <c r="AH34" i="15" s="1"/>
  <c r="AC22" i="2"/>
  <c r="AH22" i="15" s="1"/>
  <c r="AC20" i="2"/>
  <c r="AH20" i="15" s="1"/>
  <c r="AC37" i="2"/>
  <c r="AH37" i="15" s="1"/>
  <c r="AC35" i="2"/>
  <c r="AH35" i="15" s="1"/>
  <c r="AC24" i="2"/>
  <c r="AH24" i="15" s="1"/>
  <c r="AC39" i="2"/>
  <c r="AH39" i="15" s="1"/>
  <c r="U16" i="2"/>
  <c r="T16" i="2" s="1"/>
  <c r="L18" i="2"/>
  <c r="L18" i="15" s="1"/>
  <c r="L19" i="2"/>
  <c r="L19" i="15" s="1"/>
  <c r="L28" i="2"/>
  <c r="L28" i="15" s="1"/>
  <c r="L36" i="2"/>
  <c r="L36" i="15" s="1"/>
  <c r="L44" i="2"/>
  <c r="L44" i="15" s="1"/>
  <c r="H23" i="2"/>
  <c r="H23" i="15" s="1"/>
  <c r="H32" i="2"/>
  <c r="H32" i="15" s="1"/>
  <c r="H40" i="2"/>
  <c r="H40" i="15" s="1"/>
  <c r="L39" i="2"/>
  <c r="L39" i="15" s="1"/>
  <c r="H18" i="2"/>
  <c r="H18" i="15" s="1"/>
  <c r="H43" i="2"/>
  <c r="H43" i="15" s="1"/>
  <c r="H22" i="2"/>
  <c r="H22" i="15" s="1"/>
  <c r="L20" i="2"/>
  <c r="L20" i="15" s="1"/>
  <c r="L29" i="2"/>
  <c r="L29" i="15" s="1"/>
  <c r="L37" i="2"/>
  <c r="L37" i="15" s="1"/>
  <c r="L45" i="2"/>
  <c r="L45" i="15" s="1"/>
  <c r="H24" i="2"/>
  <c r="H24" i="15" s="1"/>
  <c r="H33" i="2"/>
  <c r="H33" i="15" s="1"/>
  <c r="H41" i="2"/>
  <c r="H41" i="15" s="1"/>
  <c r="L31" i="2"/>
  <c r="L31" i="15" s="1"/>
  <c r="H35" i="2"/>
  <c r="H35" i="15" s="1"/>
  <c r="L26" i="2"/>
  <c r="L26" i="15" s="1"/>
  <c r="L21" i="2"/>
  <c r="L21" i="15" s="1"/>
  <c r="L30" i="2"/>
  <c r="L30" i="15" s="1"/>
  <c r="L38" i="2"/>
  <c r="L38" i="15" s="1"/>
  <c r="L16" i="2"/>
  <c r="L16" i="15" s="1"/>
  <c r="H25" i="2"/>
  <c r="H25" i="15" s="1"/>
  <c r="H34" i="2"/>
  <c r="H34" i="15" s="1"/>
  <c r="H42" i="2"/>
  <c r="H42" i="15" s="1"/>
  <c r="L22" i="2"/>
  <c r="L22" i="15" s="1"/>
  <c r="H26" i="2"/>
  <c r="H26" i="15" s="1"/>
  <c r="H39" i="2"/>
  <c r="H39" i="15" s="1"/>
  <c r="L43" i="2"/>
  <c r="L43" i="15" s="1"/>
  <c r="L23" i="2"/>
  <c r="L23" i="15" s="1"/>
  <c r="L32" i="2"/>
  <c r="L32" i="15" s="1"/>
  <c r="L40" i="2"/>
  <c r="L40" i="15" s="1"/>
  <c r="H19" i="2"/>
  <c r="H19" i="15" s="1"/>
  <c r="H28" i="2"/>
  <c r="H28" i="15" s="1"/>
  <c r="H36" i="2"/>
  <c r="H36" i="15" s="1"/>
  <c r="H44" i="2"/>
  <c r="H44" i="15" s="1"/>
  <c r="L34" i="2"/>
  <c r="L34" i="15" s="1"/>
  <c r="L42" i="2"/>
  <c r="L42" i="15" s="1"/>
  <c r="H30" i="2"/>
  <c r="H30" i="15" s="1"/>
  <c r="H16" i="2"/>
  <c r="H16" i="15" s="1"/>
  <c r="H31" i="2"/>
  <c r="H31" i="15" s="1"/>
  <c r="L24" i="2"/>
  <c r="L24" i="15" s="1"/>
  <c r="L33" i="2"/>
  <c r="L33" i="15" s="1"/>
  <c r="L41" i="2"/>
  <c r="L41" i="15" s="1"/>
  <c r="H29" i="2"/>
  <c r="H29" i="15" s="1"/>
  <c r="H37" i="2"/>
  <c r="H37" i="15" s="1"/>
  <c r="H45" i="2"/>
  <c r="H45" i="15" s="1"/>
  <c r="L25" i="2"/>
  <c r="L25" i="15" s="1"/>
  <c r="H21" i="2"/>
  <c r="H21" i="15" s="1"/>
  <c r="H38" i="2"/>
  <c r="H38" i="15" s="1"/>
  <c r="L35" i="2"/>
  <c r="L35" i="15" s="1"/>
  <c r="L27" i="2"/>
  <c r="L27" i="15" s="1"/>
  <c r="H27" i="2"/>
  <c r="H27" i="15" s="1"/>
  <c r="H17" i="2"/>
  <c r="H17" i="15" s="1"/>
  <c r="L17" i="2"/>
  <c r="L17" i="15" s="1"/>
  <c r="U35" i="2"/>
  <c r="U43" i="2"/>
  <c r="U22" i="2"/>
  <c r="T22" i="2" s="1"/>
  <c r="U26" i="2"/>
  <c r="T26" i="2" s="1"/>
  <c r="U36" i="2"/>
  <c r="U44" i="2"/>
  <c r="U23" i="2"/>
  <c r="T23" i="2" s="1"/>
  <c r="U25" i="2"/>
  <c r="U42" i="2"/>
  <c r="U37" i="2"/>
  <c r="U45" i="2"/>
  <c r="U24" i="2"/>
  <c r="U38" i="2"/>
  <c r="T38" i="2" s="1"/>
  <c r="U30" i="2"/>
  <c r="T30" i="2" s="1"/>
  <c r="U21" i="2"/>
  <c r="U31" i="2"/>
  <c r="T31" i="2" s="1"/>
  <c r="U39" i="2"/>
  <c r="T39" i="2" s="1"/>
  <c r="U28" i="2"/>
  <c r="U18" i="2"/>
  <c r="U41" i="2"/>
  <c r="U32" i="2"/>
  <c r="T32" i="2" s="1"/>
  <c r="U40" i="2"/>
  <c r="T40" i="2" s="1"/>
  <c r="U29" i="2"/>
  <c r="U19" i="2"/>
  <c r="U33" i="2"/>
  <c r="U34" i="2"/>
  <c r="U27" i="2"/>
  <c r="U17" i="2"/>
  <c r="T17" i="2" s="1"/>
  <c r="M17" i="2"/>
  <c r="M17" i="15" s="1"/>
  <c r="M25" i="2"/>
  <c r="M25" i="15" s="1"/>
  <c r="M33" i="2"/>
  <c r="M33" i="15" s="1"/>
  <c r="M41" i="2"/>
  <c r="M41" i="15" s="1"/>
  <c r="I21" i="2"/>
  <c r="I21" i="15" s="1"/>
  <c r="I29" i="2"/>
  <c r="I29" i="15" s="1"/>
  <c r="I37" i="2"/>
  <c r="I37" i="15" s="1"/>
  <c r="I45" i="2"/>
  <c r="I45" i="15" s="1"/>
  <c r="M26" i="2"/>
  <c r="M26" i="15" s="1"/>
  <c r="I30" i="2"/>
  <c r="I30" i="15" s="1"/>
  <c r="I38" i="2"/>
  <c r="I38" i="15" s="1"/>
  <c r="M18" i="2"/>
  <c r="M18" i="15" s="1"/>
  <c r="M34" i="2"/>
  <c r="M34" i="15" s="1"/>
  <c r="M42" i="2"/>
  <c r="M42" i="15" s="1"/>
  <c r="I22" i="2"/>
  <c r="I22" i="15" s="1"/>
  <c r="I16" i="2"/>
  <c r="I16" i="15" s="1"/>
  <c r="M19" i="2"/>
  <c r="M19" i="15" s="1"/>
  <c r="M27" i="2"/>
  <c r="M27" i="15" s="1"/>
  <c r="M35" i="2"/>
  <c r="M35" i="15" s="1"/>
  <c r="M43" i="2"/>
  <c r="M43" i="15" s="1"/>
  <c r="I23" i="2"/>
  <c r="I23" i="15" s="1"/>
  <c r="I31" i="2"/>
  <c r="I31" i="15" s="1"/>
  <c r="I39" i="2"/>
  <c r="I39" i="15" s="1"/>
  <c r="M30" i="2"/>
  <c r="M30" i="15" s="1"/>
  <c r="I18" i="2"/>
  <c r="I18" i="15" s="1"/>
  <c r="M20" i="2"/>
  <c r="M20" i="15" s="1"/>
  <c r="M28" i="2"/>
  <c r="M28" i="15" s="1"/>
  <c r="M36" i="2"/>
  <c r="M36" i="15" s="1"/>
  <c r="M44" i="2"/>
  <c r="M44" i="15" s="1"/>
  <c r="I24" i="2"/>
  <c r="I24" i="15" s="1"/>
  <c r="I32" i="2"/>
  <c r="I32" i="15" s="1"/>
  <c r="I40" i="2"/>
  <c r="I40" i="15" s="1"/>
  <c r="M16" i="2"/>
  <c r="M16" i="15" s="1"/>
  <c r="I42" i="2"/>
  <c r="I42" i="15" s="1"/>
  <c r="I20" i="2"/>
  <c r="I20" i="15" s="1"/>
  <c r="M21" i="2"/>
  <c r="M21" i="15" s="1"/>
  <c r="M29" i="2"/>
  <c r="M29" i="15" s="1"/>
  <c r="M37" i="2"/>
  <c r="M37" i="15" s="1"/>
  <c r="M45" i="2"/>
  <c r="M45" i="15" s="1"/>
  <c r="I17" i="2"/>
  <c r="I17" i="15" s="1"/>
  <c r="I25" i="2"/>
  <c r="I25" i="15" s="1"/>
  <c r="I33" i="2"/>
  <c r="I33" i="15" s="1"/>
  <c r="I41" i="2"/>
  <c r="I41" i="15" s="1"/>
  <c r="M38" i="2"/>
  <c r="M38" i="15" s="1"/>
  <c r="I26" i="2"/>
  <c r="I26" i="15" s="1"/>
  <c r="I44" i="2"/>
  <c r="I44" i="15" s="1"/>
  <c r="M22" i="2"/>
  <c r="M22" i="15" s="1"/>
  <c r="I34" i="2"/>
  <c r="I34" i="15" s="1"/>
  <c r="I36" i="2"/>
  <c r="I36" i="15" s="1"/>
  <c r="M23" i="2"/>
  <c r="M23" i="15" s="1"/>
  <c r="M31" i="2"/>
  <c r="M31" i="15" s="1"/>
  <c r="M39" i="2"/>
  <c r="M39" i="15" s="1"/>
  <c r="I19" i="2"/>
  <c r="I19" i="15" s="1"/>
  <c r="I27" i="2"/>
  <c r="I27" i="15" s="1"/>
  <c r="I35" i="2"/>
  <c r="I35" i="15" s="1"/>
  <c r="I43" i="2"/>
  <c r="I43" i="15" s="1"/>
  <c r="M24" i="2"/>
  <c r="M24" i="15" s="1"/>
  <c r="M32" i="2"/>
  <c r="M32" i="15" s="1"/>
  <c r="M40" i="2"/>
  <c r="M40" i="15" s="1"/>
  <c r="I28" i="2"/>
  <c r="I28" i="15" s="1"/>
  <c r="AJ45" i="2"/>
  <c r="AJ41" i="2"/>
  <c r="AJ19" i="2"/>
  <c r="AJ20" i="2"/>
  <c r="AJ21" i="2"/>
  <c r="AJ29" i="2"/>
  <c r="AJ37" i="2"/>
  <c r="AJ16" i="2"/>
  <c r="AJ22" i="2"/>
  <c r="AJ30" i="2"/>
  <c r="AJ38" i="2"/>
  <c r="AJ31" i="2"/>
  <c r="AJ39" i="2"/>
  <c r="AJ32" i="2"/>
  <c r="AJ40" i="2"/>
  <c r="AJ33" i="2"/>
  <c r="AJ26" i="2"/>
  <c r="AJ34" i="2"/>
  <c r="AJ42" i="2"/>
  <c r="AJ27" i="2"/>
  <c r="AJ35" i="2"/>
  <c r="AJ43" i="2"/>
  <c r="AJ28" i="2"/>
  <c r="AJ36" i="2"/>
  <c r="AJ44" i="2"/>
  <c r="AJ25" i="2"/>
  <c r="AJ23" i="2"/>
  <c r="AJ24" i="2"/>
  <c r="AJ17" i="2"/>
  <c r="AJ18" i="2"/>
  <c r="Z16" i="15" l="1"/>
  <c r="Z26" i="15"/>
  <c r="Z41" i="15"/>
  <c r="T41" i="2"/>
  <c r="Y41" i="15" s="1"/>
  <c r="Z37" i="15"/>
  <c r="T37" i="2"/>
  <c r="Y37" i="15" s="1"/>
  <c r="Z25" i="15"/>
  <c r="T25" i="2"/>
  <c r="Y25" i="15" s="1"/>
  <c r="Z45" i="15"/>
  <c r="T45" i="2"/>
  <c r="Y45" i="15" s="1"/>
  <c r="Z27" i="15"/>
  <c r="T27" i="2"/>
  <c r="Y27" i="15" s="1"/>
  <c r="Z19" i="15"/>
  <c r="T19" i="2"/>
  <c r="Y19" i="15" s="1"/>
  <c r="Z29" i="15"/>
  <c r="T29" i="2"/>
  <c r="Y29" i="15" s="1"/>
  <c r="Z18" i="15"/>
  <c r="T18" i="2"/>
  <c r="Y18" i="15" s="1"/>
  <c r="Z21" i="15"/>
  <c r="T21" i="2"/>
  <c r="Y21" i="15" s="1"/>
  <c r="Z28" i="15"/>
  <c r="T28" i="2"/>
  <c r="Y28" i="15" s="1"/>
  <c r="Z44" i="15"/>
  <c r="T44" i="2"/>
  <c r="Y44" i="15" s="1"/>
  <c r="Z34" i="15"/>
  <c r="T34" i="2"/>
  <c r="Y34" i="15" s="1"/>
  <c r="Z42" i="15"/>
  <c r="T42" i="2"/>
  <c r="Y42" i="15" s="1"/>
  <c r="Z36" i="15"/>
  <c r="T36" i="2"/>
  <c r="Y36" i="15" s="1"/>
  <c r="Z43" i="15"/>
  <c r="T43" i="2"/>
  <c r="Y43" i="15" s="1"/>
  <c r="Z33" i="15"/>
  <c r="T33" i="2"/>
  <c r="Y33" i="15" s="1"/>
  <c r="Z24" i="15"/>
  <c r="T24" i="2"/>
  <c r="Y24" i="15" s="1"/>
  <c r="Z35" i="15"/>
  <c r="T35" i="2"/>
  <c r="Y35" i="15" s="1"/>
  <c r="Y16" i="15"/>
  <c r="Z17" i="15"/>
  <c r="Y17" i="15"/>
  <c r="N18" i="2"/>
  <c r="Y26" i="15"/>
  <c r="Y30" i="15"/>
  <c r="Z30" i="15"/>
  <c r="Y38" i="15"/>
  <c r="Z38" i="15"/>
  <c r="Y39" i="15"/>
  <c r="Z39" i="15"/>
  <c r="Y40" i="15"/>
  <c r="Z40" i="15"/>
  <c r="Y23" i="15"/>
  <c r="Z23" i="15"/>
  <c r="Y32" i="15"/>
  <c r="Z32" i="15"/>
  <c r="Y31" i="15"/>
  <c r="Z31" i="15"/>
  <c r="Z20" i="15"/>
  <c r="Y22" i="15"/>
  <c r="Z22" i="15"/>
  <c r="V18" i="2"/>
  <c r="AA18" i="15" s="1"/>
  <c r="V40" i="2"/>
  <c r="AA40" i="15" s="1"/>
  <c r="V28" i="2"/>
  <c r="AA28" i="15" s="1"/>
  <c r="V31" i="2"/>
  <c r="AA31" i="15" s="1"/>
  <c r="V45" i="2"/>
  <c r="AA45" i="15" s="1"/>
  <c r="V44" i="2"/>
  <c r="AA44" i="15" s="1"/>
  <c r="V33" i="2"/>
  <c r="AA33" i="15" s="1"/>
  <c r="V32" i="2"/>
  <c r="AA32" i="15" s="1"/>
  <c r="V36" i="2"/>
  <c r="AA36" i="15" s="1"/>
  <c r="V26" i="2"/>
  <c r="AA26" i="15" s="1"/>
  <c r="V20" i="2"/>
  <c r="AA20" i="15" s="1"/>
  <c r="V34" i="2"/>
  <c r="AA34" i="15" s="1"/>
  <c r="V38" i="2"/>
  <c r="AA38" i="15" s="1"/>
  <c r="V21" i="2"/>
  <c r="AA21" i="15" s="1"/>
  <c r="V39" i="2"/>
  <c r="AA39" i="15" s="1"/>
  <c r="V42" i="2"/>
  <c r="AA42" i="15" s="1"/>
  <c r="V22" i="2"/>
  <c r="AA22" i="15" s="1"/>
  <c r="V25" i="2"/>
  <c r="AA25" i="15" s="1"/>
  <c r="AD41" i="2"/>
  <c r="AI41" i="15" s="1"/>
  <c r="V30" i="2"/>
  <c r="AA30" i="15" s="1"/>
  <c r="V29" i="2"/>
  <c r="AA29" i="15" s="1"/>
  <c r="AD26" i="2"/>
  <c r="AI26" i="15" s="1"/>
  <c r="V37" i="2"/>
  <c r="AA37" i="15" s="1"/>
  <c r="V35" i="2"/>
  <c r="AA35" i="15" s="1"/>
  <c r="V17" i="2"/>
  <c r="AA17" i="15" s="1"/>
  <c r="V23" i="2"/>
  <c r="AA23" i="15" s="1"/>
  <c r="V41" i="2"/>
  <c r="AA41" i="15" s="1"/>
  <c r="V24" i="2"/>
  <c r="AA24" i="15" s="1"/>
  <c r="V27" i="2"/>
  <c r="AA27" i="15" s="1"/>
  <c r="J16" i="2"/>
  <c r="K16" i="2" s="1"/>
  <c r="AB26" i="2"/>
  <c r="AG26" i="15" s="1"/>
  <c r="V43" i="2"/>
  <c r="AA43" i="15" s="1"/>
  <c r="AB41" i="2"/>
  <c r="AG41" i="15" s="1"/>
  <c r="V19" i="2"/>
  <c r="AA19" i="15" s="1"/>
  <c r="AB44" i="2"/>
  <c r="AG44" i="15" s="1"/>
  <c r="AD44" i="2"/>
  <c r="AI44" i="15" s="1"/>
  <c r="AB28" i="2"/>
  <c r="AG28" i="15" s="1"/>
  <c r="AD28" i="2"/>
  <c r="AI28" i="15" s="1"/>
  <c r="AB33" i="2"/>
  <c r="AG33" i="15" s="1"/>
  <c r="AD33" i="2"/>
  <c r="AI33" i="15" s="1"/>
  <c r="AB25" i="2"/>
  <c r="AG25" i="15" s="1"/>
  <c r="AD25" i="2"/>
  <c r="AI25" i="15" s="1"/>
  <c r="AB17" i="2"/>
  <c r="AG17" i="15" s="1"/>
  <c r="AD17" i="2"/>
  <c r="AI17" i="15" s="1"/>
  <c r="AB42" i="2"/>
  <c r="AG42" i="15" s="1"/>
  <c r="AD42" i="2"/>
  <c r="AI42" i="15" s="1"/>
  <c r="AB34" i="2"/>
  <c r="AG34" i="15" s="1"/>
  <c r="AD34" i="2"/>
  <c r="AI34" i="15" s="1"/>
  <c r="AB18" i="2"/>
  <c r="AG18" i="15" s="1"/>
  <c r="AD18" i="2"/>
  <c r="AI18" i="15" s="1"/>
  <c r="AB39" i="2"/>
  <c r="AG39" i="15" s="1"/>
  <c r="AD39" i="2"/>
  <c r="AI39" i="15" s="1"/>
  <c r="AB31" i="2"/>
  <c r="AG31" i="15" s="1"/>
  <c r="AD31" i="2"/>
  <c r="AI31" i="15" s="1"/>
  <c r="AB23" i="2"/>
  <c r="AG23" i="15" s="1"/>
  <c r="AD23" i="2"/>
  <c r="AI23" i="15" s="1"/>
  <c r="AB20" i="2"/>
  <c r="AG20" i="15" s="1"/>
  <c r="AD20" i="2"/>
  <c r="AI20" i="15" s="1"/>
  <c r="AB40" i="2"/>
  <c r="AG40" i="15" s="1"/>
  <c r="AD40" i="2"/>
  <c r="AI40" i="15" s="1"/>
  <c r="AB32" i="2"/>
  <c r="AG32" i="15" s="1"/>
  <c r="AD32" i="2"/>
  <c r="AI32" i="15" s="1"/>
  <c r="AB24" i="2"/>
  <c r="AG24" i="15" s="1"/>
  <c r="AD24" i="2"/>
  <c r="AI24" i="15" s="1"/>
  <c r="AB45" i="2"/>
  <c r="AG45" i="15" s="1"/>
  <c r="AD45" i="2"/>
  <c r="AI45" i="15" s="1"/>
  <c r="AB37" i="2"/>
  <c r="AG37" i="15" s="1"/>
  <c r="AD37" i="2"/>
  <c r="AI37" i="15" s="1"/>
  <c r="AB29" i="2"/>
  <c r="AG29" i="15" s="1"/>
  <c r="AD29" i="2"/>
  <c r="AI29" i="15" s="1"/>
  <c r="AB21" i="2"/>
  <c r="AG21" i="15" s="1"/>
  <c r="AD21" i="2"/>
  <c r="AI21" i="15" s="1"/>
  <c r="AB36" i="2"/>
  <c r="AG36" i="15" s="1"/>
  <c r="AD36" i="2"/>
  <c r="AI36" i="15" s="1"/>
  <c r="AB38" i="2"/>
  <c r="AG38" i="15" s="1"/>
  <c r="AD38" i="2"/>
  <c r="AI38" i="15" s="1"/>
  <c r="AB30" i="2"/>
  <c r="AG30" i="15" s="1"/>
  <c r="AD30" i="2"/>
  <c r="AI30" i="15" s="1"/>
  <c r="AB22" i="2"/>
  <c r="AG22" i="15" s="1"/>
  <c r="AD22" i="2"/>
  <c r="AI22" i="15" s="1"/>
  <c r="AB43" i="2"/>
  <c r="AG43" i="15" s="1"/>
  <c r="AD43" i="2"/>
  <c r="AI43" i="15" s="1"/>
  <c r="AB35" i="2"/>
  <c r="AG35" i="15" s="1"/>
  <c r="AD35" i="2"/>
  <c r="AI35" i="15" s="1"/>
  <c r="AB27" i="2"/>
  <c r="AG27" i="15" s="1"/>
  <c r="AD27" i="2"/>
  <c r="AI27" i="15" s="1"/>
  <c r="AB19" i="2"/>
  <c r="AG19" i="15" s="1"/>
  <c r="AD19" i="2"/>
  <c r="AI19" i="15" s="1"/>
  <c r="N36" i="2"/>
  <c r="N37" i="2"/>
  <c r="N42" i="2"/>
  <c r="N34" i="2"/>
  <c r="N26" i="2"/>
  <c r="N19" i="2"/>
  <c r="N43" i="2"/>
  <c r="N35" i="2"/>
  <c r="N27" i="2"/>
  <c r="N45" i="2"/>
  <c r="N21" i="2"/>
  <c r="N40" i="2"/>
  <c r="N32" i="2"/>
  <c r="N24" i="2"/>
  <c r="N20" i="2"/>
  <c r="N41" i="2"/>
  <c r="N33" i="2"/>
  <c r="N25" i="2"/>
  <c r="N44" i="2"/>
  <c r="N28" i="2"/>
  <c r="N29" i="2"/>
  <c r="N17" i="2"/>
  <c r="N38" i="2"/>
  <c r="N30" i="2"/>
  <c r="N22" i="2"/>
  <c r="N39" i="2"/>
  <c r="N31" i="2"/>
  <c r="N23" i="2"/>
  <c r="J25" i="2"/>
  <c r="J43" i="2"/>
  <c r="J28" i="2"/>
  <c r="J36" i="2"/>
  <c r="J40" i="2"/>
  <c r="J22" i="2"/>
  <c r="J27" i="2"/>
  <c r="J35" i="2"/>
  <c r="J17" i="2"/>
  <c r="J30" i="2"/>
  <c r="J20" i="2"/>
  <c r="J44" i="2"/>
  <c r="J33" i="2"/>
  <c r="J21" i="2"/>
  <c r="J29" i="2"/>
  <c r="J37" i="2"/>
  <c r="J38" i="2"/>
  <c r="J24" i="2"/>
  <c r="J32" i="2"/>
  <c r="J41" i="2"/>
  <c r="J42" i="2"/>
  <c r="J23" i="2"/>
  <c r="J31" i="2"/>
  <c r="J39" i="2"/>
  <c r="J18" i="2"/>
  <c r="J26" i="2"/>
  <c r="J34" i="2"/>
  <c r="J45" i="2"/>
  <c r="J19" i="2"/>
  <c r="J35" i="15" l="1"/>
  <c r="K35" i="2"/>
  <c r="N34" i="15"/>
  <c r="O34" i="2"/>
  <c r="J29" i="15"/>
  <c r="K29" i="2"/>
  <c r="N31" i="15"/>
  <c r="O31" i="2"/>
  <c r="O31" i="15" s="1"/>
  <c r="N44" i="15"/>
  <c r="O44" i="2"/>
  <c r="O44" i="15" s="1"/>
  <c r="N21" i="15"/>
  <c r="O21" i="2"/>
  <c r="O21" i="15" s="1"/>
  <c r="N42" i="15"/>
  <c r="O42" i="2"/>
  <c r="O42" i="15" s="1"/>
  <c r="N40" i="15"/>
  <c r="O40" i="2"/>
  <c r="O40" i="15" s="1"/>
  <c r="J23" i="15"/>
  <c r="K23" i="2"/>
  <c r="J21" i="15"/>
  <c r="K21" i="2"/>
  <c r="J22" i="15"/>
  <c r="K22" i="2"/>
  <c r="N39" i="15"/>
  <c r="O39" i="2"/>
  <c r="O39" i="15" s="1"/>
  <c r="N25" i="15"/>
  <c r="O25" i="2"/>
  <c r="O25" i="15" s="1"/>
  <c r="N45" i="15"/>
  <c r="O45" i="2"/>
  <c r="O45" i="15" s="1"/>
  <c r="N37" i="15"/>
  <c r="O37" i="2"/>
  <c r="O37" i="15" s="1"/>
  <c r="N28" i="15"/>
  <c r="O28" i="2"/>
  <c r="O28" i="15" s="1"/>
  <c r="J42" i="15"/>
  <c r="K42" i="2"/>
  <c r="J37" i="15"/>
  <c r="K37" i="2"/>
  <c r="J19" i="15"/>
  <c r="K19" i="2"/>
  <c r="N22" i="15"/>
  <c r="O22" i="2"/>
  <c r="O22" i="15" s="1"/>
  <c r="N36" i="15"/>
  <c r="O36" i="2"/>
  <c r="O36" i="15" s="1"/>
  <c r="J45" i="15"/>
  <c r="K45" i="2"/>
  <c r="J41" i="15"/>
  <c r="K41" i="2"/>
  <c r="J44" i="15"/>
  <c r="K44" i="2"/>
  <c r="J36" i="15"/>
  <c r="K36" i="2"/>
  <c r="N30" i="15"/>
  <c r="O30" i="2"/>
  <c r="O30" i="15" s="1"/>
  <c r="N41" i="15"/>
  <c r="O41" i="2"/>
  <c r="O41" i="15" s="1"/>
  <c r="N35" i="15"/>
  <c r="O35" i="2"/>
  <c r="O35" i="15" s="1"/>
  <c r="J27" i="15"/>
  <c r="K27" i="2"/>
  <c r="J33" i="15"/>
  <c r="K33" i="2"/>
  <c r="N33" i="15"/>
  <c r="O33" i="2"/>
  <c r="O33" i="15" s="1"/>
  <c r="J34" i="15"/>
  <c r="K34" i="2"/>
  <c r="J20" i="15"/>
  <c r="K20" i="2"/>
  <c r="N38" i="15"/>
  <c r="O38" i="2"/>
  <c r="O38" i="15" s="1"/>
  <c r="N20" i="15"/>
  <c r="O20" i="2"/>
  <c r="O20" i="15" s="1"/>
  <c r="N43" i="15"/>
  <c r="O43" i="2"/>
  <c r="O43" i="15" s="1"/>
  <c r="J39" i="15"/>
  <c r="K39" i="2"/>
  <c r="J31" i="15"/>
  <c r="K31" i="2"/>
  <c r="J40" i="15"/>
  <c r="K40" i="2"/>
  <c r="N27" i="15"/>
  <c r="O27" i="2"/>
  <c r="O27" i="15" s="1"/>
  <c r="J32" i="15"/>
  <c r="K32" i="2"/>
  <c r="J28" i="15"/>
  <c r="K28" i="2"/>
  <c r="J26" i="15"/>
  <c r="K26" i="2"/>
  <c r="J24" i="15"/>
  <c r="K24" i="2"/>
  <c r="J30" i="15"/>
  <c r="K30" i="2"/>
  <c r="J43" i="15"/>
  <c r="K43" i="2"/>
  <c r="N17" i="15"/>
  <c r="O17" i="2"/>
  <c r="O17" i="15" s="1"/>
  <c r="N24" i="15"/>
  <c r="O24" i="2"/>
  <c r="O24" i="15" s="1"/>
  <c r="N19" i="15"/>
  <c r="O19" i="2"/>
  <c r="O19" i="15" s="1"/>
  <c r="N18" i="15"/>
  <c r="O18" i="2"/>
  <c r="N23" i="15"/>
  <c r="O23" i="2"/>
  <c r="O23" i="15" s="1"/>
  <c r="J18" i="15"/>
  <c r="K18" i="2"/>
  <c r="J38" i="15"/>
  <c r="K38" i="2"/>
  <c r="J17" i="15"/>
  <c r="K17" i="2"/>
  <c r="J25" i="15"/>
  <c r="K25" i="2"/>
  <c r="N29" i="15"/>
  <c r="O29" i="2"/>
  <c r="O29" i="15" s="1"/>
  <c r="N32" i="15"/>
  <c r="O32" i="2"/>
  <c r="O32" i="15" s="1"/>
  <c r="N26" i="15"/>
  <c r="O26" i="2"/>
  <c r="O26" i="15" s="1"/>
  <c r="J16" i="15"/>
  <c r="K16" i="15"/>
  <c r="O18" i="15"/>
  <c r="Y17" i="2"/>
  <c r="AD17" i="15" s="1"/>
  <c r="AG18" i="2"/>
  <c r="BR18" i="2" s="1"/>
  <c r="BS18" i="2" s="1"/>
  <c r="BT18" i="2" s="1"/>
  <c r="BU18" i="2" s="1"/>
  <c r="AE25" i="2"/>
  <c r="W19" i="2"/>
  <c r="AE30" i="2"/>
  <c r="O34" i="15"/>
  <c r="AG41" i="2"/>
  <c r="AL41" i="15" s="1"/>
  <c r="AE39" i="2"/>
  <c r="AE28" i="2"/>
  <c r="AG25" i="2"/>
  <c r="AL25" i="15" s="1"/>
  <c r="AG26" i="2"/>
  <c r="AL26" i="15" s="1"/>
  <c r="AE40" i="2"/>
  <c r="AG44" i="2"/>
  <c r="AL44" i="15" s="1"/>
  <c r="AE37" i="2"/>
  <c r="AG39" i="2"/>
  <c r="AL39" i="15" s="1"/>
  <c r="AE17" i="2"/>
  <c r="AG17" i="2"/>
  <c r="AL17" i="15" s="1"/>
  <c r="AE43" i="2"/>
  <c r="AG43" i="2"/>
  <c r="AL43" i="15" s="1"/>
  <c r="AE44" i="2"/>
  <c r="AG40" i="2"/>
  <c r="AL40" i="15" s="1"/>
  <c r="AG37" i="2"/>
  <c r="AL37" i="15" s="1"/>
  <c r="AE31" i="2"/>
  <c r="AE38" i="2"/>
  <c r="AG38" i="2"/>
  <c r="AL38" i="15" s="1"/>
  <c r="AE41" i="2"/>
  <c r="AG32" i="2"/>
  <c r="AL32" i="15" s="1"/>
  <c r="AG31" i="2"/>
  <c r="AL31" i="15" s="1"/>
  <c r="AE35" i="2"/>
  <c r="AG35" i="2"/>
  <c r="AL35" i="15" s="1"/>
  <c r="AG29" i="2"/>
  <c r="AL29" i="15" s="1"/>
  <c r="AE26" i="2"/>
  <c r="AG27" i="2"/>
  <c r="AL27" i="15" s="1"/>
  <c r="AG30" i="2"/>
  <c r="AL30" i="15" s="1"/>
  <c r="AG36" i="2"/>
  <c r="AL36" i="15" s="1"/>
  <c r="AE27" i="2"/>
  <c r="AE23" i="2"/>
  <c r="AG23" i="2"/>
  <c r="AL23" i="15" s="1"/>
  <c r="AG34" i="2"/>
  <c r="AL34" i="15" s="1"/>
  <c r="AE34" i="2"/>
  <c r="AG24" i="2"/>
  <c r="AL24" i="15" s="1"/>
  <c r="AE33" i="2"/>
  <c r="AE21" i="2"/>
  <c r="AE24" i="2"/>
  <c r="AG33" i="2"/>
  <c r="AL33" i="15" s="1"/>
  <c r="AG21" i="2"/>
  <c r="AL21" i="15" s="1"/>
  <c r="AG22" i="2"/>
  <c r="AL22" i="15" s="1"/>
  <c r="AE20" i="2"/>
  <c r="AE22" i="2"/>
  <c r="AG28" i="2"/>
  <c r="AL28" i="15" s="1"/>
  <c r="AE32" i="2"/>
  <c r="AE29" i="2"/>
  <c r="AG20" i="2"/>
  <c r="AL20" i="15" s="1"/>
  <c r="AG19" i="2"/>
  <c r="AL19" i="15" s="1"/>
  <c r="AE45" i="2"/>
  <c r="AG42" i="2"/>
  <c r="AL42" i="15" s="1"/>
  <c r="AE19" i="2"/>
  <c r="AG45" i="2"/>
  <c r="AL45" i="15" s="1"/>
  <c r="AE42" i="2"/>
  <c r="AE36" i="2"/>
  <c r="AE18" i="2"/>
  <c r="Y43" i="2"/>
  <c r="AD43" i="15" s="1"/>
  <c r="W30" i="2"/>
  <c r="W26" i="2"/>
  <c r="Y41" i="2"/>
  <c r="AD41" i="15" s="1"/>
  <c r="Y19" i="2"/>
  <c r="AD19" i="15" s="1"/>
  <c r="W32" i="2"/>
  <c r="Y22" i="2"/>
  <c r="AD22" i="15" s="1"/>
  <c r="Y28" i="2"/>
  <c r="AD28" i="15" s="1"/>
  <c r="W38" i="2"/>
  <c r="Y44" i="2"/>
  <c r="AD44" i="15" s="1"/>
  <c r="W39" i="2"/>
  <c r="Y35" i="2"/>
  <c r="AD35" i="15" s="1"/>
  <c r="W21" i="2"/>
  <c r="W23" i="2"/>
  <c r="Y36" i="2"/>
  <c r="AD36" i="15" s="1"/>
  <c r="Y18" i="2"/>
  <c r="AD18" i="15" s="1"/>
  <c r="Y42" i="2"/>
  <c r="AD42" i="15" s="1"/>
  <c r="W29" i="2"/>
  <c r="W43" i="2"/>
  <c r="W33" i="2"/>
  <c r="Y40" i="2"/>
  <c r="AD40" i="15" s="1"/>
  <c r="W45" i="2"/>
  <c r="Y31" i="2"/>
  <c r="AD31" i="15" s="1"/>
  <c r="Y20" i="2"/>
  <c r="AD20" i="15" s="1"/>
  <c r="W37" i="2"/>
  <c r="W41" i="2"/>
  <c r="W34" i="2"/>
  <c r="Y25" i="2"/>
  <c r="AD25" i="15" s="1"/>
  <c r="Y30" i="2"/>
  <c r="AD30" i="15" s="1"/>
  <c r="W27" i="2"/>
  <c r="W24" i="2"/>
  <c r="Y26" i="2"/>
  <c r="AD26" i="15" s="1"/>
  <c r="Y34" i="2"/>
  <c r="AD34" i="15" s="1"/>
  <c r="Y27" i="2"/>
  <c r="AD27" i="15" s="1"/>
  <c r="Y24" i="2"/>
  <c r="AD24" i="15" s="1"/>
  <c r="W40" i="2"/>
  <c r="Y21" i="2"/>
  <c r="AD21" i="15" s="1"/>
  <c r="W20" i="2"/>
  <c r="W25" i="2"/>
  <c r="W22" i="2"/>
  <c r="W44" i="2"/>
  <c r="W42" i="2"/>
  <c r="Y37" i="2"/>
  <c r="AD37" i="15" s="1"/>
  <c r="Y23" i="2"/>
  <c r="AD23" i="15" s="1"/>
  <c r="W18" i="2"/>
  <c r="Y33" i="2"/>
  <c r="AD33" i="15" s="1"/>
  <c r="Y45" i="2"/>
  <c r="AD45" i="15" s="1"/>
  <c r="Y39" i="2"/>
  <c r="AD39" i="15" s="1"/>
  <c r="W36" i="2"/>
  <c r="Y29" i="2"/>
  <c r="AD29" i="15" s="1"/>
  <c r="W35" i="2"/>
  <c r="Y32" i="2"/>
  <c r="AD32" i="15" s="1"/>
  <c r="Y38" i="2"/>
  <c r="AD38" i="15" s="1"/>
  <c r="W31" i="2"/>
  <c r="W28" i="2"/>
  <c r="W17" i="2"/>
  <c r="K159" i="1"/>
  <c r="M159" i="1" s="1"/>
  <c r="L159" i="1"/>
  <c r="K168" i="1"/>
  <c r="M168" i="1" s="1"/>
  <c r="L168" i="1"/>
  <c r="K178" i="1"/>
  <c r="M178" i="1" s="1"/>
  <c r="L178" i="1"/>
  <c r="K181" i="1"/>
  <c r="M181" i="1" s="1"/>
  <c r="L181" i="1"/>
  <c r="K183" i="1"/>
  <c r="M183" i="1" s="1"/>
  <c r="L183" i="1"/>
  <c r="K177" i="1"/>
  <c r="M177" i="1" s="1"/>
  <c r="L177" i="1"/>
  <c r="K172" i="1"/>
  <c r="M172" i="1" s="1"/>
  <c r="L172" i="1"/>
  <c r="K157" i="1"/>
  <c r="M157" i="1" s="1"/>
  <c r="L157" i="1"/>
  <c r="K154" i="1"/>
  <c r="M154" i="1" s="1"/>
  <c r="L154" i="1"/>
  <c r="K158" i="1"/>
  <c r="M158" i="1" s="1"/>
  <c r="L158" i="1"/>
  <c r="K155" i="1"/>
  <c r="M155" i="1" s="1"/>
  <c r="L155" i="1"/>
  <c r="K156" i="1"/>
  <c r="M156" i="1" s="1"/>
  <c r="L156" i="1"/>
  <c r="K153" i="1"/>
  <c r="M153" i="1" s="1"/>
  <c r="L153" i="1"/>
  <c r="K167" i="1"/>
  <c r="M167" i="1" s="1"/>
  <c r="L167" i="1"/>
  <c r="K145" i="1"/>
  <c r="M145" i="1" s="1"/>
  <c r="L145" i="1"/>
  <c r="K160" i="1"/>
  <c r="M160" i="1" s="1"/>
  <c r="L160" i="1"/>
  <c r="K161" i="1"/>
  <c r="M161" i="1" s="1"/>
  <c r="L161" i="1"/>
  <c r="K166" i="1"/>
  <c r="M166" i="1" s="1"/>
  <c r="L166" i="1"/>
  <c r="K176" i="1"/>
  <c r="M176" i="1" s="1"/>
  <c r="L176" i="1"/>
  <c r="K175" i="1"/>
  <c r="M175" i="1" s="1"/>
  <c r="L175" i="1"/>
  <c r="K174" i="1"/>
  <c r="M174" i="1" s="1"/>
  <c r="L174" i="1"/>
  <c r="K173" i="1"/>
  <c r="M173" i="1" s="1"/>
  <c r="L173" i="1"/>
  <c r="K148" i="1"/>
  <c r="M148" i="1" s="1"/>
  <c r="L148" i="1"/>
  <c r="K171" i="1"/>
  <c r="M171" i="1" s="1"/>
  <c r="L171" i="1"/>
  <c r="K169" i="1"/>
  <c r="M169" i="1" s="1"/>
  <c r="L169" i="1"/>
  <c r="K170" i="1"/>
  <c r="M170" i="1" s="1"/>
  <c r="L170" i="1"/>
  <c r="K164" i="1"/>
  <c r="M164" i="1" s="1"/>
  <c r="L164" i="1"/>
  <c r="K163" i="1"/>
  <c r="M163" i="1" s="1"/>
  <c r="L163" i="1"/>
  <c r="K152" i="1"/>
  <c r="M152" i="1" s="1"/>
  <c r="L152" i="1"/>
  <c r="K146" i="1"/>
  <c r="M146" i="1" s="1"/>
  <c r="L146" i="1"/>
  <c r="K147" i="1"/>
  <c r="M147" i="1" s="1"/>
  <c r="L147" i="1"/>
  <c r="K151" i="1"/>
  <c r="M151" i="1" s="1"/>
  <c r="L151" i="1"/>
  <c r="K162" i="1"/>
  <c r="M162" i="1" s="1"/>
  <c r="L162" i="1"/>
  <c r="K165" i="1"/>
  <c r="M165" i="1" s="1"/>
  <c r="L165" i="1"/>
  <c r="K140" i="1"/>
  <c r="M140" i="1" s="1"/>
  <c r="L140" i="1"/>
  <c r="K141" i="1"/>
  <c r="M141" i="1" s="1"/>
  <c r="L141" i="1"/>
  <c r="K180" i="1"/>
  <c r="M180" i="1" s="1"/>
  <c r="L180" i="1"/>
  <c r="K182" i="1"/>
  <c r="M182" i="1" s="1"/>
  <c r="L182" i="1"/>
  <c r="K142" i="1"/>
  <c r="M142" i="1" s="1"/>
  <c r="L142" i="1"/>
  <c r="K139" i="1"/>
  <c r="M139" i="1" s="1"/>
  <c r="L139" i="1"/>
  <c r="K143" i="1"/>
  <c r="M143" i="1" s="1"/>
  <c r="L143" i="1"/>
  <c r="K144" i="1"/>
  <c r="M144" i="1" s="1"/>
  <c r="L144" i="1"/>
  <c r="K149" i="1"/>
  <c r="M149" i="1" s="1"/>
  <c r="L149" i="1"/>
  <c r="K150" i="1"/>
  <c r="M150" i="1" s="1"/>
  <c r="L150" i="1"/>
  <c r="L179" i="1"/>
  <c r="K179" i="1"/>
  <c r="M179" i="1" s="1"/>
  <c r="K120" i="1"/>
  <c r="M120" i="1" s="1"/>
  <c r="L120" i="1"/>
  <c r="K121" i="1"/>
  <c r="M121" i="1" s="1"/>
  <c r="L121" i="1"/>
  <c r="K112" i="1"/>
  <c r="M112" i="1" s="1"/>
  <c r="L112" i="1"/>
  <c r="K113" i="1"/>
  <c r="M113" i="1" s="1"/>
  <c r="L113" i="1"/>
  <c r="K114" i="1"/>
  <c r="M114" i="1" s="1"/>
  <c r="L114" i="1"/>
  <c r="K125" i="1"/>
  <c r="M125" i="1" s="1"/>
  <c r="L125" i="1"/>
  <c r="K131" i="1"/>
  <c r="M131" i="1" s="1"/>
  <c r="L131" i="1"/>
  <c r="K133" i="1"/>
  <c r="M133" i="1" s="1"/>
  <c r="L133" i="1"/>
  <c r="K134" i="1"/>
  <c r="M134" i="1" s="1"/>
  <c r="L134" i="1"/>
  <c r="K126" i="1"/>
  <c r="M126" i="1" s="1"/>
  <c r="L126" i="1"/>
  <c r="K124" i="1"/>
  <c r="M124" i="1" s="1"/>
  <c r="L124" i="1"/>
  <c r="K127" i="1"/>
  <c r="M127" i="1" s="1"/>
  <c r="L127" i="1"/>
  <c r="K103" i="1"/>
  <c r="M103" i="1" s="1"/>
  <c r="L103" i="1"/>
  <c r="K104" i="1"/>
  <c r="M104" i="1" s="1"/>
  <c r="L104" i="1"/>
  <c r="K105" i="1"/>
  <c r="M105" i="1" s="1"/>
  <c r="L105" i="1"/>
  <c r="K106" i="1"/>
  <c r="M106" i="1" s="1"/>
  <c r="L106" i="1"/>
  <c r="K132" i="1"/>
  <c r="M132" i="1" s="1"/>
  <c r="L132" i="1"/>
  <c r="K115" i="1"/>
  <c r="M115" i="1" s="1"/>
  <c r="L115" i="1"/>
  <c r="K118" i="1"/>
  <c r="M118" i="1" s="1"/>
  <c r="L118" i="1"/>
  <c r="K107" i="1"/>
  <c r="M107" i="1" s="1"/>
  <c r="L107" i="1"/>
  <c r="K109" i="1"/>
  <c r="M109" i="1" s="1"/>
  <c r="L109" i="1"/>
  <c r="K108" i="1"/>
  <c r="M108" i="1" s="1"/>
  <c r="L108" i="1"/>
  <c r="K110" i="1"/>
  <c r="M110" i="1" s="1"/>
  <c r="L110" i="1"/>
  <c r="K116" i="1"/>
  <c r="M116" i="1" s="1"/>
  <c r="L116" i="1"/>
  <c r="K122" i="1"/>
  <c r="M122" i="1" s="1"/>
  <c r="L122" i="1"/>
  <c r="K128" i="1"/>
  <c r="M128" i="1" s="1"/>
  <c r="L128" i="1"/>
  <c r="K111" i="1"/>
  <c r="M111" i="1" s="1"/>
  <c r="L111" i="1"/>
  <c r="K117" i="1"/>
  <c r="M117" i="1" s="1"/>
  <c r="L117" i="1"/>
  <c r="K123" i="1"/>
  <c r="M123" i="1" s="1"/>
  <c r="L123" i="1"/>
  <c r="K129" i="1"/>
  <c r="M129" i="1" s="1"/>
  <c r="L129" i="1"/>
  <c r="K130" i="1"/>
  <c r="M130" i="1" s="1"/>
  <c r="L130" i="1"/>
  <c r="L119" i="1"/>
  <c r="K119" i="1"/>
  <c r="M119" i="1" s="1"/>
  <c r="K97" i="1"/>
  <c r="M97" i="1" s="1"/>
  <c r="L97" i="1"/>
  <c r="K94" i="1"/>
  <c r="M94" i="1" s="1"/>
  <c r="L94" i="1"/>
  <c r="K93" i="1"/>
  <c r="M93" i="1" s="1"/>
  <c r="L93" i="1"/>
  <c r="K92" i="1"/>
  <c r="M92" i="1" s="1"/>
  <c r="L92" i="1"/>
  <c r="K95" i="1"/>
  <c r="M95" i="1" s="1"/>
  <c r="L95" i="1"/>
  <c r="K96" i="1"/>
  <c r="M96" i="1" s="1"/>
  <c r="L96" i="1"/>
  <c r="K91" i="1"/>
  <c r="M91" i="1" s="1"/>
  <c r="L91" i="1"/>
  <c r="K82" i="1"/>
  <c r="M82" i="1" s="1"/>
  <c r="L82" i="1"/>
  <c r="K84" i="1"/>
  <c r="M84" i="1" s="1"/>
  <c r="L84" i="1"/>
  <c r="K85" i="1"/>
  <c r="M85" i="1" s="1"/>
  <c r="L85" i="1"/>
  <c r="K86" i="1"/>
  <c r="M86" i="1" s="1"/>
  <c r="L86" i="1"/>
  <c r="K87" i="1"/>
  <c r="M87" i="1" s="1"/>
  <c r="L87" i="1"/>
  <c r="K79" i="1"/>
  <c r="M79" i="1" s="1"/>
  <c r="L79" i="1"/>
  <c r="K90" i="1"/>
  <c r="M90" i="1" s="1"/>
  <c r="L90" i="1"/>
  <c r="K77" i="1"/>
  <c r="M77" i="1" s="1"/>
  <c r="L77" i="1"/>
  <c r="K80" i="1"/>
  <c r="M80" i="1" s="1"/>
  <c r="L80" i="1"/>
  <c r="K78" i="1"/>
  <c r="M78" i="1" s="1"/>
  <c r="L78" i="1"/>
  <c r="K81" i="1"/>
  <c r="M81" i="1" s="1"/>
  <c r="L81" i="1"/>
  <c r="K88" i="1"/>
  <c r="M88" i="1" s="1"/>
  <c r="L88" i="1"/>
  <c r="K83" i="1"/>
  <c r="M83" i="1" s="1"/>
  <c r="L83" i="1"/>
  <c r="K89" i="1"/>
  <c r="M89" i="1" s="1"/>
  <c r="L89" i="1"/>
  <c r="K76" i="1"/>
  <c r="M76" i="1" s="1"/>
  <c r="L76" i="1"/>
  <c r="L98" i="1"/>
  <c r="K98" i="1"/>
  <c r="M98" i="1" s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K4" i="1"/>
  <c r="M4" i="1" s="1"/>
  <c r="K5" i="1"/>
  <c r="M5" i="1" s="1"/>
  <c r="K6" i="1"/>
  <c r="M6" i="1" s="1"/>
  <c r="K7" i="1"/>
  <c r="M7" i="1" s="1"/>
  <c r="K8" i="1"/>
  <c r="M8" i="1" s="1"/>
  <c r="K9" i="1"/>
  <c r="M9" i="1" s="1"/>
  <c r="K10" i="1"/>
  <c r="M10" i="1" s="1"/>
  <c r="K11" i="1"/>
  <c r="M11" i="1" s="1"/>
  <c r="K12" i="1"/>
  <c r="M12" i="1" s="1"/>
  <c r="K13" i="1"/>
  <c r="M13" i="1" s="1"/>
  <c r="K14" i="1"/>
  <c r="M14" i="1" s="1"/>
  <c r="K15" i="1"/>
  <c r="M15" i="1" s="1"/>
  <c r="K16" i="1"/>
  <c r="M16" i="1" s="1"/>
  <c r="K17" i="1"/>
  <c r="M17" i="1" s="1"/>
  <c r="K18" i="1"/>
  <c r="M18" i="1" s="1"/>
  <c r="K19" i="1"/>
  <c r="M19" i="1" s="1"/>
  <c r="K20" i="1"/>
  <c r="M20" i="1" s="1"/>
  <c r="K21" i="1"/>
  <c r="M21" i="1" s="1"/>
  <c r="K22" i="1"/>
  <c r="M22" i="1" s="1"/>
  <c r="K23" i="1"/>
  <c r="M23" i="1" s="1"/>
  <c r="K24" i="1"/>
  <c r="M24" i="1" s="1"/>
  <c r="K25" i="1"/>
  <c r="M25" i="1" s="1"/>
  <c r="K26" i="1"/>
  <c r="M26" i="1" s="1"/>
  <c r="K27" i="1"/>
  <c r="M27" i="1" s="1"/>
  <c r="K28" i="1"/>
  <c r="M28" i="1" s="1"/>
  <c r="K29" i="1"/>
  <c r="M29" i="1" s="1"/>
  <c r="K30" i="1"/>
  <c r="M30" i="1" s="1"/>
  <c r="K31" i="1"/>
  <c r="M31" i="1" s="1"/>
  <c r="K32" i="1"/>
  <c r="M32" i="1" s="1"/>
  <c r="K33" i="1"/>
  <c r="M33" i="1" s="1"/>
  <c r="K34" i="1"/>
  <c r="M34" i="1" s="1"/>
  <c r="K35" i="1"/>
  <c r="M35" i="1" s="1"/>
  <c r="K36" i="1"/>
  <c r="M36" i="1" s="1"/>
  <c r="K37" i="1"/>
  <c r="M37" i="1" s="1"/>
  <c r="K38" i="1"/>
  <c r="M38" i="1" s="1"/>
  <c r="K39" i="1"/>
  <c r="M39" i="1" s="1"/>
  <c r="K40" i="1"/>
  <c r="M40" i="1" s="1"/>
  <c r="K41" i="1"/>
  <c r="M41" i="1" s="1"/>
  <c r="K42" i="1"/>
  <c r="M42" i="1" s="1"/>
  <c r="K43" i="1"/>
  <c r="M43" i="1" s="1"/>
  <c r="K44" i="1"/>
  <c r="M44" i="1" s="1"/>
  <c r="K45" i="1"/>
  <c r="M45" i="1" s="1"/>
  <c r="K46" i="1"/>
  <c r="M46" i="1" s="1"/>
  <c r="K47" i="1"/>
  <c r="M47" i="1" s="1"/>
  <c r="K48" i="1"/>
  <c r="M48" i="1" s="1"/>
  <c r="K49" i="1"/>
  <c r="M49" i="1" s="1"/>
  <c r="K50" i="1"/>
  <c r="M50" i="1" s="1"/>
  <c r="K51" i="1"/>
  <c r="M51" i="1" s="1"/>
  <c r="K52" i="1"/>
  <c r="M52" i="1" s="1"/>
  <c r="K53" i="1"/>
  <c r="M53" i="1" s="1"/>
  <c r="K54" i="1"/>
  <c r="M54" i="1" s="1"/>
  <c r="K55" i="1"/>
  <c r="M55" i="1" s="1"/>
  <c r="K56" i="1"/>
  <c r="M56" i="1" s="1"/>
  <c r="K57" i="1"/>
  <c r="M57" i="1" s="1"/>
  <c r="K58" i="1"/>
  <c r="M58" i="1" s="1"/>
  <c r="K59" i="1"/>
  <c r="M59" i="1" s="1"/>
  <c r="K60" i="1"/>
  <c r="M60" i="1" s="1"/>
  <c r="K61" i="1"/>
  <c r="M61" i="1" s="1"/>
  <c r="K62" i="1"/>
  <c r="M62" i="1" s="1"/>
  <c r="K63" i="1"/>
  <c r="M63" i="1" s="1"/>
  <c r="K64" i="1"/>
  <c r="M64" i="1" s="1"/>
  <c r="K65" i="1"/>
  <c r="M65" i="1" s="1"/>
  <c r="K66" i="1"/>
  <c r="M66" i="1" s="1"/>
  <c r="K67" i="1"/>
  <c r="M67" i="1" s="1"/>
  <c r="K68" i="1"/>
  <c r="M68" i="1" s="1"/>
  <c r="K69" i="1"/>
  <c r="M69" i="1" s="1"/>
  <c r="K70" i="1"/>
  <c r="M70" i="1" s="1"/>
  <c r="K71" i="1"/>
  <c r="M71" i="1" s="1"/>
  <c r="AJ45" i="15" l="1"/>
  <c r="AF45" i="2"/>
  <c r="AK45" i="15" s="1"/>
  <c r="AJ31" i="15"/>
  <c r="AF31" i="2"/>
  <c r="AK31" i="15" s="1"/>
  <c r="AB37" i="15"/>
  <c r="X37" i="2"/>
  <c r="AC37" i="15" s="1"/>
  <c r="AB38" i="15"/>
  <c r="X38" i="2"/>
  <c r="AC38" i="15" s="1"/>
  <c r="AB17" i="15"/>
  <c r="X17" i="2"/>
  <c r="AC17" i="15" s="1"/>
  <c r="AB22" i="15"/>
  <c r="X22" i="2"/>
  <c r="AC22" i="15" s="1"/>
  <c r="AJ18" i="15"/>
  <c r="AF18" i="2"/>
  <c r="AK18" i="15" s="1"/>
  <c r="AJ23" i="15"/>
  <c r="AF23" i="2"/>
  <c r="AK23" i="15" s="1"/>
  <c r="AJ35" i="15"/>
  <c r="AF35" i="2"/>
  <c r="AK35" i="15" s="1"/>
  <c r="AB44" i="15"/>
  <c r="X44" i="2"/>
  <c r="AC44" i="15" s="1"/>
  <c r="AJ37" i="15"/>
  <c r="AF37" i="2"/>
  <c r="AK37" i="15" s="1"/>
  <c r="AB28" i="15"/>
  <c r="X28" i="2"/>
  <c r="AC28" i="15" s="1"/>
  <c r="AB25" i="15"/>
  <c r="X25" i="2"/>
  <c r="AC25" i="15" s="1"/>
  <c r="AB24" i="15"/>
  <c r="X24" i="2"/>
  <c r="AC24" i="15" s="1"/>
  <c r="AJ36" i="15"/>
  <c r="AF36" i="2"/>
  <c r="AK36" i="15" s="1"/>
  <c r="AJ29" i="15"/>
  <c r="AF29" i="2"/>
  <c r="AK29" i="15" s="1"/>
  <c r="AJ24" i="15"/>
  <c r="AF24" i="2"/>
  <c r="AK24" i="15" s="1"/>
  <c r="AJ27" i="15"/>
  <c r="AF27" i="2"/>
  <c r="AK27" i="15" s="1"/>
  <c r="AJ44" i="15"/>
  <c r="AF44" i="2"/>
  <c r="AK44" i="15" s="1"/>
  <c r="AJ40" i="15"/>
  <c r="AF40" i="2"/>
  <c r="AK40" i="15" s="1"/>
  <c r="AB41" i="15"/>
  <c r="X41" i="2"/>
  <c r="AC41" i="15" s="1"/>
  <c r="AB45" i="15"/>
  <c r="X45" i="2"/>
  <c r="AC45" i="15" s="1"/>
  <c r="AB30" i="15"/>
  <c r="X30" i="2"/>
  <c r="AC30" i="15" s="1"/>
  <c r="AB20" i="15"/>
  <c r="X20" i="2"/>
  <c r="AC20" i="15" s="1"/>
  <c r="AB32" i="15"/>
  <c r="X32" i="2"/>
  <c r="AC32" i="15" s="1"/>
  <c r="AJ21" i="15"/>
  <c r="AF21" i="2"/>
  <c r="AK21" i="15" s="1"/>
  <c r="AB18" i="15"/>
  <c r="X18" i="2"/>
  <c r="AC18" i="15" s="1"/>
  <c r="AB21" i="15"/>
  <c r="X21" i="2"/>
  <c r="AC21" i="15" s="1"/>
  <c r="AJ33" i="15"/>
  <c r="AF33" i="2"/>
  <c r="AK33" i="15" s="1"/>
  <c r="AJ41" i="15"/>
  <c r="AF41" i="2"/>
  <c r="AK41" i="15" s="1"/>
  <c r="AJ43" i="15"/>
  <c r="AF43" i="2"/>
  <c r="AK43" i="15" s="1"/>
  <c r="AJ30" i="15"/>
  <c r="AF30" i="2"/>
  <c r="AK30" i="15" s="1"/>
  <c r="AB29" i="15"/>
  <c r="X29" i="2"/>
  <c r="AC29" i="15" s="1"/>
  <c r="AB31" i="15"/>
  <c r="X31" i="2"/>
  <c r="AC31" i="15" s="1"/>
  <c r="AB27" i="15"/>
  <c r="X27" i="2"/>
  <c r="AC27" i="15" s="1"/>
  <c r="AB23" i="15"/>
  <c r="X23" i="2"/>
  <c r="AC23" i="15" s="1"/>
  <c r="AJ32" i="15"/>
  <c r="AF32" i="2"/>
  <c r="AK32" i="15" s="1"/>
  <c r="AB40" i="15"/>
  <c r="X40" i="2"/>
  <c r="AC40" i="15" s="1"/>
  <c r="AB33" i="15"/>
  <c r="X33" i="2"/>
  <c r="AC33" i="15" s="1"/>
  <c r="AJ19" i="15"/>
  <c r="AF19" i="2"/>
  <c r="AK19" i="15" s="1"/>
  <c r="AJ22" i="15"/>
  <c r="AF22" i="2"/>
  <c r="AJ28" i="15"/>
  <c r="AF28" i="2"/>
  <c r="AK28" i="15" s="1"/>
  <c r="AB19" i="15"/>
  <c r="X19" i="2"/>
  <c r="AC19" i="15" s="1"/>
  <c r="AB42" i="15"/>
  <c r="X42" i="2"/>
  <c r="AC42" i="15" s="1"/>
  <c r="AB36" i="15"/>
  <c r="X36" i="2"/>
  <c r="AC36" i="15" s="1"/>
  <c r="AJ42" i="15"/>
  <c r="AF42" i="2"/>
  <c r="AK42" i="15" s="1"/>
  <c r="AB35" i="15"/>
  <c r="X35" i="2"/>
  <c r="AC35" i="15" s="1"/>
  <c r="AB34" i="15"/>
  <c r="X34" i="2"/>
  <c r="AC34" i="15" s="1"/>
  <c r="AB43" i="15"/>
  <c r="X43" i="2"/>
  <c r="AC43" i="15" s="1"/>
  <c r="AB39" i="15"/>
  <c r="X39" i="2"/>
  <c r="AB26" i="15"/>
  <c r="X26" i="2"/>
  <c r="AC26" i="15" s="1"/>
  <c r="AJ20" i="15"/>
  <c r="AF20" i="2"/>
  <c r="AK20" i="15" s="1"/>
  <c r="AJ34" i="15"/>
  <c r="AF34" i="2"/>
  <c r="AK34" i="15" s="1"/>
  <c r="AJ26" i="15"/>
  <c r="AF26" i="2"/>
  <c r="AK26" i="15" s="1"/>
  <c r="AJ38" i="15"/>
  <c r="AF38" i="2"/>
  <c r="AK38" i="15" s="1"/>
  <c r="AJ17" i="15"/>
  <c r="AF17" i="2"/>
  <c r="AK17" i="15" s="1"/>
  <c r="AJ39" i="15"/>
  <c r="AF39" i="2"/>
  <c r="AK39" i="15" s="1"/>
  <c r="AJ25" i="15"/>
  <c r="AF25" i="2"/>
  <c r="AK25" i="15" s="1"/>
  <c r="K27" i="15"/>
  <c r="K38" i="15"/>
  <c r="P38" i="15"/>
  <c r="K39" i="15"/>
  <c r="P39" i="15"/>
  <c r="K29" i="15"/>
  <c r="K35" i="15"/>
  <c r="K43" i="15"/>
  <c r="P43" i="15"/>
  <c r="K40" i="15"/>
  <c r="P40" i="15"/>
  <c r="K30" i="15"/>
  <c r="K17" i="15"/>
  <c r="K22" i="15"/>
  <c r="K18" i="15"/>
  <c r="K33" i="15"/>
  <c r="K21" i="15"/>
  <c r="K36" i="15"/>
  <c r="P36" i="15"/>
  <c r="K42" i="15"/>
  <c r="P42" i="15"/>
  <c r="K34" i="15"/>
  <c r="K26" i="15"/>
  <c r="K23" i="15"/>
  <c r="K28" i="15"/>
  <c r="K24" i="15"/>
  <c r="K44" i="15"/>
  <c r="P44" i="15"/>
  <c r="K41" i="15"/>
  <c r="P41" i="15"/>
  <c r="K37" i="15"/>
  <c r="P37" i="15"/>
  <c r="K19" i="15"/>
  <c r="K32" i="15"/>
  <c r="K31" i="15"/>
  <c r="K20" i="15"/>
  <c r="K45" i="15"/>
  <c r="P45" i="15"/>
  <c r="K25" i="15"/>
  <c r="AH18" i="2"/>
  <c r="AM18" i="15" s="1"/>
  <c r="AL18" i="15"/>
  <c r="BQ18" i="15" s="1"/>
  <c r="BR18" i="15" s="1"/>
  <c r="BS18" i="15" s="1"/>
  <c r="BT18" i="15" s="1"/>
  <c r="Z43" i="2"/>
  <c r="AA43" i="2" s="1"/>
  <c r="AF43" i="15" s="1"/>
  <c r="Z29" i="2"/>
  <c r="AE29" i="15" s="1"/>
  <c r="Z27" i="2"/>
  <c r="AA27" i="2" s="1"/>
  <c r="AF27" i="15" s="1"/>
  <c r="Z44" i="2"/>
  <c r="AA44" i="2" s="1"/>
  <c r="AF44" i="15" s="1"/>
  <c r="AH22" i="2"/>
  <c r="AI22" i="2" s="1"/>
  <c r="AN22" i="15" s="1"/>
  <c r="BQ22" i="15"/>
  <c r="BR22" i="15" s="1"/>
  <c r="BS22" i="15" s="1"/>
  <c r="BT22" i="15" s="1"/>
  <c r="AH34" i="2"/>
  <c r="AM34" i="15" s="1"/>
  <c r="BQ34" i="15"/>
  <c r="BR34" i="15" s="1"/>
  <c r="BS34" i="15" s="1"/>
  <c r="BT34" i="15" s="1"/>
  <c r="AH29" i="2"/>
  <c r="AI29" i="2" s="1"/>
  <c r="AN29" i="15" s="1"/>
  <c r="BQ29" i="15"/>
  <c r="BR29" i="15" s="1"/>
  <c r="BS29" i="15" s="1"/>
  <c r="BT29" i="15" s="1"/>
  <c r="AH39" i="2"/>
  <c r="AM39" i="15" s="1"/>
  <c r="BQ39" i="15"/>
  <c r="BR39" i="15" s="1"/>
  <c r="BS39" i="15" s="1"/>
  <c r="BT39" i="15" s="1"/>
  <c r="AH41" i="2"/>
  <c r="AM41" i="15" s="1"/>
  <c r="BQ41" i="15"/>
  <c r="BR41" i="15" s="1"/>
  <c r="BS41" i="15" s="1"/>
  <c r="BT41" i="15" s="1"/>
  <c r="AH35" i="2"/>
  <c r="AM35" i="15" s="1"/>
  <c r="BQ35" i="15"/>
  <c r="BR35" i="15" s="1"/>
  <c r="BS35" i="15" s="1"/>
  <c r="BT35" i="15" s="1"/>
  <c r="Z39" i="2"/>
  <c r="AE39" i="15" s="1"/>
  <c r="Z26" i="2"/>
  <c r="AA26" i="2" s="1"/>
  <c r="AF26" i="15" s="1"/>
  <c r="Z20" i="2"/>
  <c r="AE20" i="15" s="1"/>
  <c r="Z18" i="2"/>
  <c r="AA18" i="2" s="1"/>
  <c r="AF18" i="15" s="1"/>
  <c r="Z28" i="2"/>
  <c r="AA28" i="2" s="1"/>
  <c r="AF28" i="15" s="1"/>
  <c r="AH20" i="2"/>
  <c r="AI20" i="2" s="1"/>
  <c r="AN20" i="15" s="1"/>
  <c r="BQ20" i="15"/>
  <c r="BR20" i="15" s="1"/>
  <c r="BS20" i="15" s="1"/>
  <c r="BT20" i="15" s="1"/>
  <c r="AH33" i="2"/>
  <c r="AI33" i="2" s="1"/>
  <c r="AN33" i="15" s="1"/>
  <c r="BQ33" i="15"/>
  <c r="BR33" i="15" s="1"/>
  <c r="BS33" i="15" s="1"/>
  <c r="BT33" i="15" s="1"/>
  <c r="AH40" i="2"/>
  <c r="AI40" i="2" s="1"/>
  <c r="AN40" i="15" s="1"/>
  <c r="S40" i="15" s="1"/>
  <c r="BQ40" i="15"/>
  <c r="BR40" i="15" s="1"/>
  <c r="BS40" i="15" s="1"/>
  <c r="BT40" i="15" s="1"/>
  <c r="AH44" i="2"/>
  <c r="AI44" i="2" s="1"/>
  <c r="AN44" i="15" s="1"/>
  <c r="S44" i="15" s="1"/>
  <c r="BQ44" i="15"/>
  <c r="BR44" i="15" s="1"/>
  <c r="BS44" i="15" s="1"/>
  <c r="BT44" i="15" s="1"/>
  <c r="AH19" i="2"/>
  <c r="AI19" i="2" s="1"/>
  <c r="AN19" i="15" s="1"/>
  <c r="BQ19" i="15"/>
  <c r="BR19" i="15" s="1"/>
  <c r="BS19" i="15" s="1"/>
  <c r="BT19" i="15" s="1"/>
  <c r="Z45" i="2"/>
  <c r="AE45" i="15" s="1"/>
  <c r="Z31" i="2"/>
  <c r="AA31" i="2" s="1"/>
  <c r="AF31" i="15" s="1"/>
  <c r="Z36" i="2"/>
  <c r="AA36" i="2" s="1"/>
  <c r="AF36" i="15" s="1"/>
  <c r="Z22" i="2"/>
  <c r="AA22" i="2" s="1"/>
  <c r="AF22" i="15" s="1"/>
  <c r="AH31" i="2"/>
  <c r="AM31" i="15" s="1"/>
  <c r="BQ31" i="15"/>
  <c r="BR31" i="15" s="1"/>
  <c r="BS31" i="15" s="1"/>
  <c r="BT31" i="15" s="1"/>
  <c r="Z34" i="2"/>
  <c r="AA34" i="2" s="1"/>
  <c r="AF34" i="15" s="1"/>
  <c r="AH23" i="2"/>
  <c r="AI23" i="2" s="1"/>
  <c r="AN23" i="15" s="1"/>
  <c r="BQ23" i="15"/>
  <c r="BR23" i="15" s="1"/>
  <c r="BS23" i="15" s="1"/>
  <c r="BT23" i="15" s="1"/>
  <c r="Z33" i="2"/>
  <c r="AE33" i="15" s="1"/>
  <c r="AH36" i="2"/>
  <c r="AI36" i="2" s="1"/>
  <c r="AN36" i="15" s="1"/>
  <c r="S36" i="15" s="1"/>
  <c r="BQ36" i="15"/>
  <c r="BR36" i="15" s="1"/>
  <c r="BS36" i="15" s="1"/>
  <c r="BT36" i="15" s="1"/>
  <c r="AH32" i="2"/>
  <c r="AM32" i="15" s="1"/>
  <c r="BQ32" i="15"/>
  <c r="BR32" i="15" s="1"/>
  <c r="BS32" i="15" s="1"/>
  <c r="BT32" i="15" s="1"/>
  <c r="AH43" i="2"/>
  <c r="AI43" i="2" s="1"/>
  <c r="AN43" i="15" s="1"/>
  <c r="S43" i="15" s="1"/>
  <c r="BQ43" i="15"/>
  <c r="BR43" i="15" s="1"/>
  <c r="BS43" i="15" s="1"/>
  <c r="BT43" i="15" s="1"/>
  <c r="AH26" i="2"/>
  <c r="AM26" i="15" s="1"/>
  <c r="BQ26" i="15"/>
  <c r="BR26" i="15" s="1"/>
  <c r="BS26" i="15" s="1"/>
  <c r="BT26" i="15" s="1"/>
  <c r="Z38" i="2"/>
  <c r="AE38" i="15" s="1"/>
  <c r="Z21" i="2"/>
  <c r="AA21" i="2" s="1"/>
  <c r="AF21" i="15" s="1"/>
  <c r="Z30" i="2"/>
  <c r="AE30" i="15" s="1"/>
  <c r="Z40" i="2"/>
  <c r="AA40" i="2" s="1"/>
  <c r="AF40" i="15" s="1"/>
  <c r="Z19" i="2"/>
  <c r="AA19" i="2" s="1"/>
  <c r="AF19" i="15" s="1"/>
  <c r="AH45" i="2"/>
  <c r="AM45" i="15" s="1"/>
  <c r="BQ45" i="15"/>
  <c r="BR45" i="15" s="1"/>
  <c r="BS45" i="15" s="1"/>
  <c r="BT45" i="15" s="1"/>
  <c r="AH28" i="2"/>
  <c r="AM28" i="15" s="1"/>
  <c r="BQ28" i="15"/>
  <c r="BR28" i="15" s="1"/>
  <c r="BS28" i="15" s="1"/>
  <c r="BT28" i="15" s="1"/>
  <c r="AH30" i="2"/>
  <c r="AM30" i="15" s="1"/>
  <c r="BQ30" i="15"/>
  <c r="BR30" i="15" s="1"/>
  <c r="BS30" i="15" s="1"/>
  <c r="BT30" i="15" s="1"/>
  <c r="AH25" i="2"/>
  <c r="AM25" i="15" s="1"/>
  <c r="BQ25" i="15"/>
  <c r="BR25" i="15" s="1"/>
  <c r="BS25" i="15" s="1"/>
  <c r="BT25" i="15" s="1"/>
  <c r="Z42" i="2"/>
  <c r="AA42" i="2" s="1"/>
  <c r="AF42" i="15" s="1"/>
  <c r="AH37" i="2"/>
  <c r="AM37" i="15" s="1"/>
  <c r="BQ37" i="15"/>
  <c r="BR37" i="15" s="1"/>
  <c r="BS37" i="15" s="1"/>
  <c r="BT37" i="15" s="1"/>
  <c r="Z32" i="2"/>
  <c r="AE32" i="15" s="1"/>
  <c r="Z23" i="2"/>
  <c r="AE23" i="15" s="1"/>
  <c r="Z25" i="2"/>
  <c r="AE25" i="15" s="1"/>
  <c r="Z35" i="2"/>
  <c r="AE35" i="15" s="1"/>
  <c r="Z41" i="2"/>
  <c r="AE41" i="15" s="1"/>
  <c r="AK22" i="15"/>
  <c r="AH24" i="2"/>
  <c r="AM24" i="15" s="1"/>
  <c r="BQ24" i="15"/>
  <c r="BR24" i="15" s="1"/>
  <c r="BS24" i="15" s="1"/>
  <c r="BT24" i="15" s="1"/>
  <c r="AH27" i="2"/>
  <c r="AI27" i="2" s="1"/>
  <c r="AN27" i="15" s="1"/>
  <c r="BQ27" i="15"/>
  <c r="BR27" i="15" s="1"/>
  <c r="BS27" i="15" s="1"/>
  <c r="BT27" i="15" s="1"/>
  <c r="AH38" i="2"/>
  <c r="AM38" i="15" s="1"/>
  <c r="BQ38" i="15"/>
  <c r="BR38" i="15" s="1"/>
  <c r="BS38" i="15" s="1"/>
  <c r="BT38" i="15" s="1"/>
  <c r="AH17" i="2"/>
  <c r="AI17" i="2" s="1"/>
  <c r="AN17" i="15" s="1"/>
  <c r="BQ17" i="15"/>
  <c r="BR17" i="15" s="1"/>
  <c r="BS17" i="15" s="1"/>
  <c r="BT17" i="15" s="1"/>
  <c r="AH21" i="2"/>
  <c r="AI21" i="2" s="1"/>
  <c r="AN21" i="15" s="1"/>
  <c r="BQ21" i="15"/>
  <c r="BR21" i="15" s="1"/>
  <c r="BS21" i="15" s="1"/>
  <c r="BT21" i="15" s="1"/>
  <c r="Z37" i="2"/>
  <c r="AA37" i="2" s="1"/>
  <c r="AF37" i="15" s="1"/>
  <c r="Z24" i="2"/>
  <c r="AA24" i="2" s="1"/>
  <c r="AF24" i="15" s="1"/>
  <c r="AC39" i="15"/>
  <c r="AH42" i="2"/>
  <c r="AI42" i="2" s="1"/>
  <c r="AN42" i="15" s="1"/>
  <c r="S42" i="15" s="1"/>
  <c r="BQ42" i="15"/>
  <c r="BR42" i="15" s="1"/>
  <c r="BS42" i="15" s="1"/>
  <c r="BT42" i="15" s="1"/>
  <c r="Z17" i="2"/>
  <c r="BR26" i="2"/>
  <c r="BS26" i="2" s="1"/>
  <c r="BT26" i="2" s="1"/>
  <c r="BU26" i="2" s="1"/>
  <c r="BR45" i="2"/>
  <c r="BS45" i="2" s="1"/>
  <c r="BT45" i="2" s="1"/>
  <c r="BU45" i="2" s="1"/>
  <c r="BR28" i="2"/>
  <c r="BS28" i="2" s="1"/>
  <c r="BT28" i="2" s="1"/>
  <c r="BU28" i="2" s="1"/>
  <c r="BR30" i="2"/>
  <c r="BS30" i="2" s="1"/>
  <c r="BT30" i="2" s="1"/>
  <c r="BU30" i="2" s="1"/>
  <c r="BR25" i="2"/>
  <c r="BS25" i="2" s="1"/>
  <c r="BT25" i="2" s="1"/>
  <c r="BU25" i="2" s="1"/>
  <c r="BR43" i="2"/>
  <c r="BS43" i="2" s="1"/>
  <c r="BT43" i="2" s="1"/>
  <c r="BU43" i="2" s="1"/>
  <c r="BR24" i="2"/>
  <c r="BS24" i="2" s="1"/>
  <c r="BT24" i="2" s="1"/>
  <c r="BU24" i="2" s="1"/>
  <c r="BR27" i="2"/>
  <c r="BS27" i="2" s="1"/>
  <c r="BT27" i="2" s="1"/>
  <c r="BU27" i="2" s="1"/>
  <c r="BR38" i="2"/>
  <c r="BS38" i="2" s="1"/>
  <c r="BT38" i="2" s="1"/>
  <c r="BU38" i="2" s="1"/>
  <c r="BR17" i="2"/>
  <c r="BS17" i="2" s="1"/>
  <c r="BT17" i="2" s="1"/>
  <c r="BU17" i="2" s="1"/>
  <c r="BR36" i="2"/>
  <c r="BS36" i="2" s="1"/>
  <c r="BT36" i="2" s="1"/>
  <c r="BU36" i="2" s="1"/>
  <c r="BR42" i="2"/>
  <c r="BS42" i="2" s="1"/>
  <c r="BT42" i="2" s="1"/>
  <c r="BU42" i="2" s="1"/>
  <c r="BR32" i="2"/>
  <c r="BS32" i="2" s="1"/>
  <c r="BT32" i="2" s="1"/>
  <c r="BU32" i="2" s="1"/>
  <c r="BR22" i="2"/>
  <c r="BS22" i="2" s="1"/>
  <c r="BT22" i="2" s="1"/>
  <c r="BU22" i="2" s="1"/>
  <c r="BR34" i="2"/>
  <c r="BS34" i="2" s="1"/>
  <c r="BT34" i="2" s="1"/>
  <c r="BU34" i="2" s="1"/>
  <c r="BR29" i="2"/>
  <c r="BS29" i="2" s="1"/>
  <c r="BT29" i="2" s="1"/>
  <c r="BU29" i="2" s="1"/>
  <c r="BR39" i="2"/>
  <c r="BS39" i="2" s="1"/>
  <c r="BT39" i="2" s="1"/>
  <c r="BU39" i="2" s="1"/>
  <c r="BR41" i="2"/>
  <c r="BS41" i="2" s="1"/>
  <c r="BT41" i="2" s="1"/>
  <c r="BU41" i="2" s="1"/>
  <c r="BR19" i="2"/>
  <c r="BS19" i="2" s="1"/>
  <c r="BT19" i="2" s="1"/>
  <c r="BU19" i="2" s="1"/>
  <c r="BR21" i="2"/>
  <c r="BS21" i="2" s="1"/>
  <c r="BT21" i="2" s="1"/>
  <c r="BU21" i="2" s="1"/>
  <c r="BR23" i="2"/>
  <c r="BS23" i="2" s="1"/>
  <c r="BT23" i="2" s="1"/>
  <c r="BU23" i="2" s="1"/>
  <c r="BR35" i="2"/>
  <c r="BS35" i="2" s="1"/>
  <c r="BT35" i="2" s="1"/>
  <c r="BU35" i="2" s="1"/>
  <c r="BR37" i="2"/>
  <c r="BS37" i="2" s="1"/>
  <c r="BT37" i="2" s="1"/>
  <c r="BU37" i="2" s="1"/>
  <c r="BR20" i="2"/>
  <c r="BS20" i="2" s="1"/>
  <c r="BT20" i="2" s="1"/>
  <c r="BU20" i="2" s="1"/>
  <c r="BR33" i="2"/>
  <c r="BS33" i="2" s="1"/>
  <c r="BT33" i="2" s="1"/>
  <c r="BU33" i="2" s="1"/>
  <c r="BR40" i="2"/>
  <c r="BS40" i="2" s="1"/>
  <c r="BT40" i="2" s="1"/>
  <c r="BU40" i="2" s="1"/>
  <c r="BR44" i="2"/>
  <c r="BS44" i="2" s="1"/>
  <c r="BT44" i="2" s="1"/>
  <c r="BU44" i="2" s="1"/>
  <c r="BR31" i="2"/>
  <c r="BS31" i="2" s="1"/>
  <c r="BT31" i="2" s="1"/>
  <c r="BU31" i="2" s="1"/>
  <c r="O77" i="1"/>
  <c r="P77" i="1" s="1"/>
  <c r="O149" i="1"/>
  <c r="O143" i="1"/>
  <c r="O142" i="1"/>
  <c r="O180" i="1"/>
  <c r="O140" i="1"/>
  <c r="O162" i="1"/>
  <c r="O147" i="1"/>
  <c r="O152" i="1"/>
  <c r="O164" i="1"/>
  <c r="O169" i="1"/>
  <c r="O148" i="1"/>
  <c r="O174" i="1"/>
  <c r="O176" i="1"/>
  <c r="O161" i="1"/>
  <c r="O145" i="1"/>
  <c r="O153" i="1"/>
  <c r="O155" i="1"/>
  <c r="O154" i="1"/>
  <c r="P154" i="1" s="1"/>
  <c r="O172" i="1"/>
  <c r="O183" i="1"/>
  <c r="O178" i="1"/>
  <c r="O159" i="1"/>
  <c r="Q30" i="10"/>
  <c r="R30" i="10" s="1"/>
  <c r="S30" i="10" s="1"/>
  <c r="T30" i="10" s="1"/>
  <c r="U30" i="10" s="1"/>
  <c r="V30" i="10" s="1"/>
  <c r="W30" i="10" s="1"/>
  <c r="X30" i="10" s="1"/>
  <c r="Y30" i="10" s="1"/>
  <c r="R2" i="10"/>
  <c r="S2" i="10" s="1"/>
  <c r="T2" i="10" s="1"/>
  <c r="U2" i="10" s="1"/>
  <c r="V2" i="10" s="1"/>
  <c r="W2" i="10" s="1"/>
  <c r="X2" i="10" s="1"/>
  <c r="Y2" i="10" s="1"/>
  <c r="Q9" i="10"/>
  <c r="R9" i="10" s="1"/>
  <c r="S9" i="10" s="1"/>
  <c r="T9" i="10" s="1"/>
  <c r="U9" i="10" s="1"/>
  <c r="V9" i="10" s="1"/>
  <c r="W9" i="10" s="1"/>
  <c r="X9" i="10" s="1"/>
  <c r="Y9" i="10" s="1"/>
  <c r="O60" i="1"/>
  <c r="P60" i="1" s="1"/>
  <c r="O56" i="1"/>
  <c r="P56" i="1" s="1"/>
  <c r="O44" i="1"/>
  <c r="P44" i="1" s="1"/>
  <c r="O28" i="1"/>
  <c r="P28" i="1" s="1"/>
  <c r="O20" i="1"/>
  <c r="P20" i="1" s="1"/>
  <c r="O8" i="1"/>
  <c r="P8" i="1" s="1"/>
  <c r="O76" i="1"/>
  <c r="P76" i="1" s="1"/>
  <c r="O71" i="1"/>
  <c r="P71" i="1" s="1"/>
  <c r="O67" i="1"/>
  <c r="P67" i="1" s="1"/>
  <c r="O63" i="1"/>
  <c r="P63" i="1" s="1"/>
  <c r="O59" i="1"/>
  <c r="P59" i="1" s="1"/>
  <c r="O55" i="1"/>
  <c r="P55" i="1" s="1"/>
  <c r="O51" i="1"/>
  <c r="P51" i="1" s="1"/>
  <c r="O47" i="1"/>
  <c r="P47" i="1" s="1"/>
  <c r="O43" i="1"/>
  <c r="P43" i="1" s="1"/>
  <c r="O39" i="1"/>
  <c r="P39" i="1" s="1"/>
  <c r="O35" i="1"/>
  <c r="P35" i="1" s="1"/>
  <c r="O31" i="1"/>
  <c r="P31" i="1" s="1"/>
  <c r="O27" i="1"/>
  <c r="P27" i="1" s="1"/>
  <c r="O23" i="1"/>
  <c r="P23" i="1" s="1"/>
  <c r="O19" i="1"/>
  <c r="P19" i="1" s="1"/>
  <c r="O15" i="1"/>
  <c r="P15" i="1" s="1"/>
  <c r="O11" i="1"/>
  <c r="P11" i="1" s="1"/>
  <c r="O7" i="1"/>
  <c r="P7" i="1" s="1"/>
  <c r="O64" i="1"/>
  <c r="P64" i="1" s="1"/>
  <c r="O48" i="1"/>
  <c r="P48" i="1" s="1"/>
  <c r="O32" i="1"/>
  <c r="P32" i="1" s="1"/>
  <c r="O16" i="1"/>
  <c r="P16" i="1" s="1"/>
  <c r="O4" i="1"/>
  <c r="P4" i="1" s="1"/>
  <c r="O70" i="1"/>
  <c r="P70" i="1" s="1"/>
  <c r="O62" i="1"/>
  <c r="P62" i="1" s="1"/>
  <c r="O54" i="1"/>
  <c r="P54" i="1" s="1"/>
  <c r="O46" i="1"/>
  <c r="P46" i="1" s="1"/>
  <c r="O34" i="1"/>
  <c r="P34" i="1" s="1"/>
  <c r="O26" i="1"/>
  <c r="P26" i="1" s="1"/>
  <c r="O18" i="1"/>
  <c r="P18" i="1" s="1"/>
  <c r="O10" i="1"/>
  <c r="P10" i="1" s="1"/>
  <c r="O68" i="1"/>
  <c r="P68" i="1" s="1"/>
  <c r="O52" i="1"/>
  <c r="P52" i="1" s="1"/>
  <c r="O40" i="1"/>
  <c r="P40" i="1" s="1"/>
  <c r="O36" i="1"/>
  <c r="P36" i="1" s="1"/>
  <c r="O24" i="1"/>
  <c r="P24" i="1" s="1"/>
  <c r="O12" i="1"/>
  <c r="P12" i="1" s="1"/>
  <c r="O66" i="1"/>
  <c r="P66" i="1" s="1"/>
  <c r="O58" i="1"/>
  <c r="P58" i="1" s="1"/>
  <c r="O50" i="1"/>
  <c r="P50" i="1" s="1"/>
  <c r="O42" i="1"/>
  <c r="P42" i="1" s="1"/>
  <c r="O38" i="1"/>
  <c r="P38" i="1" s="1"/>
  <c r="O30" i="1"/>
  <c r="P30" i="1" s="1"/>
  <c r="O22" i="1"/>
  <c r="P22" i="1" s="1"/>
  <c r="O14" i="1"/>
  <c r="P14" i="1" s="1"/>
  <c r="O6" i="1"/>
  <c r="P6" i="1" s="1"/>
  <c r="O69" i="1"/>
  <c r="P69" i="1" s="1"/>
  <c r="O65" i="1"/>
  <c r="P65" i="1" s="1"/>
  <c r="O61" i="1"/>
  <c r="P61" i="1" s="1"/>
  <c r="O57" i="1"/>
  <c r="P57" i="1" s="1"/>
  <c r="O53" i="1"/>
  <c r="P53" i="1" s="1"/>
  <c r="O49" i="1"/>
  <c r="P49" i="1" s="1"/>
  <c r="O45" i="1"/>
  <c r="P45" i="1" s="1"/>
  <c r="O41" i="1"/>
  <c r="P41" i="1" s="1"/>
  <c r="O37" i="1"/>
  <c r="P37" i="1" s="1"/>
  <c r="O33" i="1"/>
  <c r="P33" i="1" s="1"/>
  <c r="O29" i="1"/>
  <c r="P29" i="1" s="1"/>
  <c r="O25" i="1"/>
  <c r="P25" i="1" s="1"/>
  <c r="O21" i="1"/>
  <c r="P21" i="1" s="1"/>
  <c r="O17" i="1"/>
  <c r="P17" i="1" s="1"/>
  <c r="O13" i="1"/>
  <c r="P13" i="1" s="1"/>
  <c r="O9" i="1"/>
  <c r="P9" i="1" s="1"/>
  <c r="O5" i="1"/>
  <c r="P5" i="1" s="1"/>
  <c r="O150" i="1"/>
  <c r="O144" i="1"/>
  <c r="P144" i="1" s="1"/>
  <c r="O182" i="1"/>
  <c r="P182" i="1" s="1"/>
  <c r="O141" i="1"/>
  <c r="P141" i="1" s="1"/>
  <c r="O165" i="1"/>
  <c r="O151" i="1"/>
  <c r="P151" i="1" s="1"/>
  <c r="O146" i="1"/>
  <c r="P146" i="1" s="1"/>
  <c r="O163" i="1"/>
  <c r="P163" i="1" s="1"/>
  <c r="O170" i="1"/>
  <c r="P170" i="1" s="1"/>
  <c r="O171" i="1"/>
  <c r="P171" i="1" s="1"/>
  <c r="O173" i="1"/>
  <c r="P173" i="1" s="1"/>
  <c r="O175" i="1"/>
  <c r="P175" i="1" s="1"/>
  <c r="O166" i="1"/>
  <c r="O160" i="1"/>
  <c r="O167" i="1"/>
  <c r="P167" i="1" s="1"/>
  <c r="O156" i="1"/>
  <c r="P156" i="1" s="1"/>
  <c r="O158" i="1"/>
  <c r="O157" i="1"/>
  <c r="P157" i="1" s="1"/>
  <c r="O177" i="1"/>
  <c r="P177" i="1" s="1"/>
  <c r="O181" i="1"/>
  <c r="P181" i="1" s="1"/>
  <c r="O168" i="1"/>
  <c r="O139" i="1"/>
  <c r="P139" i="1" s="1"/>
  <c r="O179" i="1"/>
  <c r="P179" i="1" s="1"/>
  <c r="O130" i="1"/>
  <c r="P130" i="1" s="1"/>
  <c r="O110" i="1"/>
  <c r="P110" i="1" s="1"/>
  <c r="O105" i="1"/>
  <c r="P105" i="1" s="1"/>
  <c r="O134" i="1"/>
  <c r="P134" i="1" s="1"/>
  <c r="O112" i="1"/>
  <c r="P112" i="1" s="1"/>
  <c r="O120" i="1"/>
  <c r="O123" i="1"/>
  <c r="P123" i="1" s="1"/>
  <c r="O122" i="1"/>
  <c r="P122" i="1" s="1"/>
  <c r="O118" i="1"/>
  <c r="P118" i="1" s="1"/>
  <c r="O124" i="1"/>
  <c r="P124" i="1" s="1"/>
  <c r="O131" i="1"/>
  <c r="P131" i="1" s="1"/>
  <c r="O119" i="1"/>
  <c r="O111" i="1"/>
  <c r="P111" i="1" s="1"/>
  <c r="O109" i="1"/>
  <c r="O132" i="1"/>
  <c r="P132" i="1" s="1"/>
  <c r="O103" i="1"/>
  <c r="P103" i="1" s="1"/>
  <c r="O114" i="1"/>
  <c r="P114" i="1" s="1"/>
  <c r="O129" i="1"/>
  <c r="P129" i="1" s="1"/>
  <c r="O117" i="1"/>
  <c r="P117" i="1" s="1"/>
  <c r="O128" i="1"/>
  <c r="P128" i="1" s="1"/>
  <c r="O116" i="1"/>
  <c r="P116" i="1" s="1"/>
  <c r="O108" i="1"/>
  <c r="P108" i="1" s="1"/>
  <c r="O107" i="1"/>
  <c r="P107" i="1" s="1"/>
  <c r="O115" i="1"/>
  <c r="P115" i="1" s="1"/>
  <c r="O106" i="1"/>
  <c r="P106" i="1" s="1"/>
  <c r="O104" i="1"/>
  <c r="P104" i="1" s="1"/>
  <c r="O127" i="1"/>
  <c r="P127" i="1" s="1"/>
  <c r="O126" i="1"/>
  <c r="P126" i="1" s="1"/>
  <c r="O133" i="1"/>
  <c r="P133" i="1" s="1"/>
  <c r="O125" i="1"/>
  <c r="P125" i="1" s="1"/>
  <c r="O113" i="1"/>
  <c r="P113" i="1" s="1"/>
  <c r="O121" i="1"/>
  <c r="P121" i="1" s="1"/>
  <c r="O83" i="1"/>
  <c r="P83" i="1" s="1"/>
  <c r="O81" i="1"/>
  <c r="P81" i="1" s="1"/>
  <c r="O80" i="1"/>
  <c r="P80" i="1" s="1"/>
  <c r="O90" i="1"/>
  <c r="P90" i="1" s="1"/>
  <c r="O87" i="1"/>
  <c r="P87" i="1" s="1"/>
  <c r="O85" i="1"/>
  <c r="P85" i="1" s="1"/>
  <c r="O82" i="1"/>
  <c r="P82" i="1" s="1"/>
  <c r="O96" i="1"/>
  <c r="P96" i="1" s="1"/>
  <c r="O92" i="1"/>
  <c r="P92" i="1" s="1"/>
  <c r="O94" i="1"/>
  <c r="P94" i="1" s="1"/>
  <c r="O89" i="1"/>
  <c r="P89" i="1" s="1"/>
  <c r="O88" i="1"/>
  <c r="P88" i="1" s="1"/>
  <c r="O78" i="1"/>
  <c r="P78" i="1" s="1"/>
  <c r="O79" i="1"/>
  <c r="P79" i="1" s="1"/>
  <c r="O86" i="1"/>
  <c r="P86" i="1" s="1"/>
  <c r="O84" i="1"/>
  <c r="P84" i="1" s="1"/>
  <c r="O91" i="1"/>
  <c r="P91" i="1" s="1"/>
  <c r="O95" i="1"/>
  <c r="P95" i="1" s="1"/>
  <c r="O93" i="1"/>
  <c r="P93" i="1" s="1"/>
  <c r="O97" i="1"/>
  <c r="P97" i="1" s="1"/>
  <c r="O98" i="1"/>
  <c r="P98" i="1" s="1"/>
  <c r="P109" i="1"/>
  <c r="P120" i="1"/>
  <c r="P150" i="1"/>
  <c r="P165" i="1"/>
  <c r="P166" i="1"/>
  <c r="P160" i="1"/>
  <c r="P158" i="1"/>
  <c r="P168" i="1"/>
  <c r="P149" i="1"/>
  <c r="P143" i="1"/>
  <c r="P142" i="1"/>
  <c r="P180" i="1"/>
  <c r="P140" i="1"/>
  <c r="P162" i="1"/>
  <c r="P147" i="1"/>
  <c r="P152" i="1"/>
  <c r="P164" i="1"/>
  <c r="P169" i="1"/>
  <c r="P174" i="1"/>
  <c r="P176" i="1"/>
  <c r="P161" i="1"/>
  <c r="P145" i="1"/>
  <c r="P153" i="1"/>
  <c r="P155" i="1"/>
  <c r="P172" i="1"/>
  <c r="P183" i="1"/>
  <c r="P178" i="1"/>
  <c r="P159" i="1"/>
  <c r="P148" i="1"/>
  <c r="O3" i="1" l="1"/>
  <c r="AI39" i="2"/>
  <c r="AN39" i="15" s="1"/>
  <c r="S39" i="15" s="1"/>
  <c r="AA29" i="2"/>
  <c r="AF29" i="15" s="1"/>
  <c r="AE19" i="15"/>
  <c r="R39" i="15"/>
  <c r="Q39" i="15" s="1"/>
  <c r="AI24" i="2"/>
  <c r="AN24" i="15" s="1"/>
  <c r="AI26" i="2"/>
  <c r="AN26" i="15" s="1"/>
  <c r="AE43" i="15"/>
  <c r="R38" i="15"/>
  <c r="Q38" i="15" s="1"/>
  <c r="R41" i="15"/>
  <c r="Q41" i="15" s="1"/>
  <c r="R37" i="15"/>
  <c r="Q37" i="15" s="1"/>
  <c r="R45" i="15"/>
  <c r="Q45" i="15" s="1"/>
  <c r="AI37" i="2"/>
  <c r="AN37" i="15" s="1"/>
  <c r="S37" i="15" s="1"/>
  <c r="AA39" i="2"/>
  <c r="AF39" i="15" s="1"/>
  <c r="AA41" i="2"/>
  <c r="AF41" i="15" s="1"/>
  <c r="AA23" i="2"/>
  <c r="AF23" i="15" s="1"/>
  <c r="AE27" i="15"/>
  <c r="AI18" i="2"/>
  <c r="AN18" i="15" s="1"/>
  <c r="AE37" i="15"/>
  <c r="AM43" i="15"/>
  <c r="R43" i="15" s="1"/>
  <c r="Q43" i="15" s="1"/>
  <c r="AI31" i="2"/>
  <c r="AN31" i="15" s="1"/>
  <c r="AE26" i="15"/>
  <c r="AE22" i="15"/>
  <c r="AI45" i="2"/>
  <c r="AN45" i="15" s="1"/>
  <c r="S45" i="15" s="1"/>
  <c r="AM19" i="15"/>
  <c r="AI28" i="2"/>
  <c r="AN28" i="15" s="1"/>
  <c r="AI30" i="2"/>
  <c r="AN30" i="15" s="1"/>
  <c r="AI35" i="2"/>
  <c r="AN35" i="15" s="1"/>
  <c r="AI32" i="2"/>
  <c r="AN32" i="15" s="1"/>
  <c r="AE28" i="15"/>
  <c r="AM40" i="15"/>
  <c r="R40" i="15" s="1"/>
  <c r="Q40" i="15" s="1"/>
  <c r="AE21" i="15"/>
  <c r="AM29" i="15"/>
  <c r="AE42" i="15"/>
  <c r="AA20" i="2"/>
  <c r="AF20" i="15" s="1"/>
  <c r="AM27" i="15"/>
  <c r="AI25" i="2"/>
  <c r="AN25" i="15" s="1"/>
  <c r="AA35" i="2"/>
  <c r="AF35" i="15" s="1"/>
  <c r="AA25" i="2"/>
  <c r="AF25" i="15" s="1"/>
  <c r="AM20" i="15"/>
  <c r="AI38" i="2"/>
  <c r="AN38" i="15" s="1"/>
  <c r="S38" i="15" s="1"/>
  <c r="AM22" i="15"/>
  <c r="AA30" i="2"/>
  <c r="AF30" i="15" s="1"/>
  <c r="AE31" i="15"/>
  <c r="AA33" i="2"/>
  <c r="AF33" i="15" s="1"/>
  <c r="AI34" i="2"/>
  <c r="AN34" i="15" s="1"/>
  <c r="AM44" i="15"/>
  <c r="R44" i="15" s="1"/>
  <c r="Q44" i="15" s="1"/>
  <c r="AE18" i="15"/>
  <c r="AA32" i="2"/>
  <c r="AF32" i="15" s="1"/>
  <c r="AA45" i="2"/>
  <c r="AF45" i="15" s="1"/>
  <c r="AM36" i="15"/>
  <c r="R36" i="15" s="1"/>
  <c r="Q36" i="15" s="1"/>
  <c r="AI41" i="2"/>
  <c r="AN41" i="15" s="1"/>
  <c r="S41" i="15" s="1"/>
  <c r="AA38" i="2"/>
  <c r="AF38" i="15" s="1"/>
  <c r="AE36" i="15"/>
  <c r="AE44" i="15"/>
  <c r="AM42" i="15"/>
  <c r="R42" i="15" s="1"/>
  <c r="Q42" i="15" s="1"/>
  <c r="AM17" i="15"/>
  <c r="AE40" i="15"/>
  <c r="AM23" i="15"/>
  <c r="AM33" i="15"/>
  <c r="AE17" i="15"/>
  <c r="AA17" i="2"/>
  <c r="AF17" i="15" s="1"/>
  <c r="AE24" i="15"/>
  <c r="AM21" i="15"/>
  <c r="AE34" i="15"/>
  <c r="Q29" i="10"/>
  <c r="R29" i="10" s="1"/>
  <c r="S29" i="10" s="1"/>
  <c r="T29" i="10" s="1"/>
  <c r="U29" i="10" s="1"/>
  <c r="V29" i="10" s="1"/>
  <c r="W29" i="10" s="1"/>
  <c r="X29" i="10" s="1"/>
  <c r="Y29" i="10" s="1"/>
  <c r="Q13" i="10"/>
  <c r="R13" i="10" s="1"/>
  <c r="S13" i="10" s="1"/>
  <c r="T13" i="10" s="1"/>
  <c r="U13" i="10" s="1"/>
  <c r="V13" i="10" s="1"/>
  <c r="W13" i="10" s="1"/>
  <c r="X13" i="10" s="1"/>
  <c r="Y13" i="10" s="1"/>
  <c r="Q16" i="10"/>
  <c r="R16" i="10" s="1"/>
  <c r="S16" i="10" s="1"/>
  <c r="T16" i="10" s="1"/>
  <c r="U16" i="10" s="1"/>
  <c r="V16" i="10" s="1"/>
  <c r="W16" i="10" s="1"/>
  <c r="X16" i="10" s="1"/>
  <c r="Y16" i="10" s="1"/>
  <c r="Q4" i="10"/>
  <c r="R4" i="10" s="1"/>
  <c r="S4" i="10" s="1"/>
  <c r="T4" i="10" s="1"/>
  <c r="U4" i="10" s="1"/>
  <c r="V4" i="10" s="1"/>
  <c r="W4" i="10" s="1"/>
  <c r="X4" i="10" s="1"/>
  <c r="Y4" i="10" s="1"/>
  <c r="Q12" i="10"/>
  <c r="R12" i="10" s="1"/>
  <c r="S12" i="10" s="1"/>
  <c r="T12" i="10" s="1"/>
  <c r="U12" i="10" s="1"/>
  <c r="V12" i="10" s="1"/>
  <c r="W12" i="10" s="1"/>
  <c r="X12" i="10" s="1"/>
  <c r="Y12" i="10" s="1"/>
  <c r="Q11" i="10"/>
  <c r="R11" i="10" s="1"/>
  <c r="S11" i="10" s="1"/>
  <c r="T11" i="10" s="1"/>
  <c r="U11" i="10" s="1"/>
  <c r="V11" i="10" s="1"/>
  <c r="W11" i="10" s="1"/>
  <c r="X11" i="10" s="1"/>
  <c r="Y11" i="10" s="1"/>
  <c r="Q17" i="10"/>
  <c r="R17" i="10" s="1"/>
  <c r="S17" i="10" s="1"/>
  <c r="T17" i="10" s="1"/>
  <c r="U17" i="10" s="1"/>
  <c r="V17" i="10" s="1"/>
  <c r="W17" i="10" s="1"/>
  <c r="X17" i="10" s="1"/>
  <c r="Y17" i="10" s="1"/>
  <c r="Q20" i="10"/>
  <c r="R20" i="10" s="1"/>
  <c r="S20" i="10" s="1"/>
  <c r="T20" i="10" s="1"/>
  <c r="U20" i="10" s="1"/>
  <c r="V20" i="10" s="1"/>
  <c r="W20" i="10" s="1"/>
  <c r="X20" i="10" s="1"/>
  <c r="Y20" i="10" s="1"/>
  <c r="Q25" i="10"/>
  <c r="R25" i="10" s="1"/>
  <c r="S25" i="10" s="1"/>
  <c r="T25" i="10" s="1"/>
  <c r="U25" i="10" s="1"/>
  <c r="V25" i="10" s="1"/>
  <c r="W25" i="10" s="1"/>
  <c r="X25" i="10" s="1"/>
  <c r="Y25" i="10" s="1"/>
  <c r="Q10" i="10"/>
  <c r="R10" i="10" s="1"/>
  <c r="S10" i="10" s="1"/>
  <c r="T10" i="10" s="1"/>
  <c r="U10" i="10" s="1"/>
  <c r="V10" i="10" s="1"/>
  <c r="W10" i="10" s="1"/>
  <c r="X10" i="10" s="1"/>
  <c r="Y10" i="10" s="1"/>
  <c r="Q8" i="10"/>
  <c r="R8" i="10" s="1"/>
  <c r="S8" i="10" s="1"/>
  <c r="T8" i="10" s="1"/>
  <c r="U8" i="10" s="1"/>
  <c r="V8" i="10" s="1"/>
  <c r="W8" i="10" s="1"/>
  <c r="X8" i="10" s="1"/>
  <c r="Y8" i="10" s="1"/>
  <c r="Q27" i="10"/>
  <c r="R27" i="10" s="1"/>
  <c r="S27" i="10" s="1"/>
  <c r="T27" i="10" s="1"/>
  <c r="U27" i="10" s="1"/>
  <c r="V27" i="10" s="1"/>
  <c r="W27" i="10" s="1"/>
  <c r="X27" i="10" s="1"/>
  <c r="Y27" i="10" s="1"/>
  <c r="Q23" i="10"/>
  <c r="R23" i="10" s="1"/>
  <c r="S23" i="10" s="1"/>
  <c r="T23" i="10" s="1"/>
  <c r="U23" i="10" s="1"/>
  <c r="V23" i="10" s="1"/>
  <c r="W23" i="10" s="1"/>
  <c r="X23" i="10" s="1"/>
  <c r="Y23" i="10" s="1"/>
  <c r="Q6" i="10"/>
  <c r="R6" i="10" s="1"/>
  <c r="S6" i="10" s="1"/>
  <c r="T6" i="10" s="1"/>
  <c r="U6" i="10" s="1"/>
  <c r="V6" i="10" s="1"/>
  <c r="W6" i="10" s="1"/>
  <c r="X6" i="10" s="1"/>
  <c r="Y6" i="10" s="1"/>
  <c r="Q14" i="10"/>
  <c r="R14" i="10" s="1"/>
  <c r="S14" i="10" s="1"/>
  <c r="T14" i="10" s="1"/>
  <c r="U14" i="10" s="1"/>
  <c r="V14" i="10" s="1"/>
  <c r="W14" i="10" s="1"/>
  <c r="X14" i="10" s="1"/>
  <c r="Y14" i="10" s="1"/>
  <c r="Q19" i="10"/>
  <c r="R19" i="10" s="1"/>
  <c r="S19" i="10" s="1"/>
  <c r="T19" i="10" s="1"/>
  <c r="U19" i="10" s="1"/>
  <c r="V19" i="10" s="1"/>
  <c r="W19" i="10" s="1"/>
  <c r="X19" i="10" s="1"/>
  <c r="Y19" i="10" s="1"/>
  <c r="Q31" i="10"/>
  <c r="R31" i="10" s="1"/>
  <c r="S31" i="10" s="1"/>
  <c r="T31" i="10" s="1"/>
  <c r="U31" i="10" s="1"/>
  <c r="V31" i="10" s="1"/>
  <c r="W31" i="10" s="1"/>
  <c r="X31" i="10" s="1"/>
  <c r="Y31" i="10" s="1"/>
  <c r="Q5" i="10"/>
  <c r="R5" i="10" s="1"/>
  <c r="S5" i="10" s="1"/>
  <c r="T5" i="10" s="1"/>
  <c r="U5" i="10" s="1"/>
  <c r="V5" i="10" s="1"/>
  <c r="W5" i="10" s="1"/>
  <c r="X5" i="10" s="1"/>
  <c r="Y5" i="10" s="1"/>
  <c r="Q21" i="10"/>
  <c r="R21" i="10" s="1"/>
  <c r="S21" i="10" s="1"/>
  <c r="T21" i="10" s="1"/>
  <c r="U21" i="10" s="1"/>
  <c r="V21" i="10" s="1"/>
  <c r="W21" i="10" s="1"/>
  <c r="X21" i="10" s="1"/>
  <c r="Y21" i="10" s="1"/>
  <c r="Q3" i="10"/>
  <c r="R3" i="10" s="1"/>
  <c r="S3" i="10" s="1"/>
  <c r="T3" i="10" s="1"/>
  <c r="U3" i="10" s="1"/>
  <c r="V3" i="10" s="1"/>
  <c r="W3" i="10" s="1"/>
  <c r="X3" i="10" s="1"/>
  <c r="Y3" i="10" s="1"/>
  <c r="Q15" i="10"/>
  <c r="R15" i="10" s="1"/>
  <c r="S15" i="10" s="1"/>
  <c r="T15" i="10" s="1"/>
  <c r="U15" i="10" s="1"/>
  <c r="V15" i="10" s="1"/>
  <c r="W15" i="10" s="1"/>
  <c r="X15" i="10" s="1"/>
  <c r="Y15" i="10" s="1"/>
  <c r="Q28" i="10"/>
  <c r="R28" i="10" s="1"/>
  <c r="S28" i="10" s="1"/>
  <c r="T28" i="10" s="1"/>
  <c r="U28" i="10" s="1"/>
  <c r="V28" i="10" s="1"/>
  <c r="W28" i="10" s="1"/>
  <c r="X28" i="10" s="1"/>
  <c r="Y28" i="10" s="1"/>
  <c r="Q18" i="10"/>
  <c r="R18" i="10" s="1"/>
  <c r="S18" i="10" s="1"/>
  <c r="T18" i="10" s="1"/>
  <c r="U18" i="10" s="1"/>
  <c r="V18" i="10" s="1"/>
  <c r="W18" i="10" s="1"/>
  <c r="X18" i="10" s="1"/>
  <c r="Y18" i="10" s="1"/>
  <c r="Q7" i="10"/>
  <c r="R7" i="10" s="1"/>
  <c r="S7" i="10" s="1"/>
  <c r="T7" i="10" s="1"/>
  <c r="U7" i="10" s="1"/>
  <c r="V7" i="10" s="1"/>
  <c r="W7" i="10" s="1"/>
  <c r="X7" i="10" s="1"/>
  <c r="Y7" i="10" s="1"/>
  <c r="Q22" i="10"/>
  <c r="R22" i="10" s="1"/>
  <c r="S22" i="10" s="1"/>
  <c r="T22" i="10" s="1"/>
  <c r="U22" i="10" s="1"/>
  <c r="V22" i="10" s="1"/>
  <c r="W22" i="10" s="1"/>
  <c r="X22" i="10" s="1"/>
  <c r="Y22" i="10" s="1"/>
  <c r="Q26" i="10"/>
  <c r="R26" i="10" s="1"/>
  <c r="S26" i="10" s="1"/>
  <c r="T26" i="10" s="1"/>
  <c r="U26" i="10" s="1"/>
  <c r="V26" i="10" s="1"/>
  <c r="W26" i="10" s="1"/>
  <c r="X26" i="10" s="1"/>
  <c r="Y26" i="10" s="1"/>
  <c r="Q24" i="10"/>
  <c r="R24" i="10" s="1"/>
  <c r="S24" i="10" s="1"/>
  <c r="T24" i="10" s="1"/>
  <c r="U24" i="10" s="1"/>
  <c r="V24" i="10" s="1"/>
  <c r="W24" i="10" s="1"/>
  <c r="X24" i="10" s="1"/>
  <c r="Y24" i="10" s="1"/>
  <c r="O1" i="1"/>
  <c r="P74" i="1"/>
  <c r="Q76" i="1" s="1"/>
  <c r="P75" i="1"/>
  <c r="O75" i="1"/>
  <c r="P119" i="1"/>
  <c r="P102" i="1" s="1"/>
  <c r="O102" i="1"/>
  <c r="O138" i="1"/>
  <c r="P137" i="1"/>
  <c r="P138" i="1"/>
  <c r="P1" i="1"/>
  <c r="P3" i="1"/>
  <c r="Q67" i="1" l="1"/>
  <c r="Q59" i="1"/>
  <c r="Q51" i="1"/>
  <c r="R51" i="1" s="1"/>
  <c r="Q43" i="1"/>
  <c r="S43" i="1" s="1"/>
  <c r="Q35" i="1"/>
  <c r="Q27" i="1"/>
  <c r="Q19" i="1"/>
  <c r="Q11" i="1"/>
  <c r="R11" i="1" s="1"/>
  <c r="Q62" i="1"/>
  <c r="Q46" i="1"/>
  <c r="Q10" i="1"/>
  <c r="Q30" i="1"/>
  <c r="S30" i="1" s="1"/>
  <c r="Q8" i="1"/>
  <c r="Q24" i="1"/>
  <c r="Q38" i="1"/>
  <c r="Q22" i="1"/>
  <c r="S22" i="1" s="1"/>
  <c r="Q65" i="1"/>
  <c r="Q49" i="1"/>
  <c r="Q25" i="1"/>
  <c r="R25" i="1" s="1"/>
  <c r="Q9" i="1"/>
  <c r="R9" i="1" s="1"/>
  <c r="Q60" i="1"/>
  <c r="Q44" i="1"/>
  <c r="Q20" i="1"/>
  <c r="Q64" i="1"/>
  <c r="S64" i="1" s="1"/>
  <c r="Q32" i="1"/>
  <c r="Q4" i="1"/>
  <c r="Q26" i="1"/>
  <c r="Q52" i="1"/>
  <c r="S52" i="1" s="1"/>
  <c r="Q36" i="1"/>
  <c r="Q12" i="1"/>
  <c r="Q58" i="1"/>
  <c r="Q42" i="1"/>
  <c r="R42" i="1" s="1"/>
  <c r="Q14" i="1"/>
  <c r="Q69" i="1"/>
  <c r="Q61" i="1"/>
  <c r="Q53" i="1"/>
  <c r="S53" i="1" s="1"/>
  <c r="Q45" i="1"/>
  <c r="R45" i="1" s="1"/>
  <c r="Q37" i="1"/>
  <c r="Q29" i="1"/>
  <c r="Q21" i="1"/>
  <c r="R21" i="1" s="1"/>
  <c r="Q13" i="1"/>
  <c r="S13" i="1" s="1"/>
  <c r="Q5" i="1"/>
  <c r="R5" i="1" s="1"/>
  <c r="Q28" i="1"/>
  <c r="S28" i="1" s="1"/>
  <c r="Q40" i="1"/>
  <c r="R40" i="1" s="1"/>
  <c r="Q50" i="1"/>
  <c r="S50" i="1" s="1"/>
  <c r="Q6" i="1"/>
  <c r="Q57" i="1"/>
  <c r="Q33" i="1"/>
  <c r="R33" i="1" s="1"/>
  <c r="Q71" i="1"/>
  <c r="R71" i="1" s="1"/>
  <c r="Q63" i="1"/>
  <c r="Q55" i="1"/>
  <c r="Q47" i="1"/>
  <c r="S47" i="1" s="1"/>
  <c r="Q39" i="1"/>
  <c r="Q31" i="1"/>
  <c r="S31" i="1" s="1"/>
  <c r="Q23" i="1"/>
  <c r="Q15" i="1"/>
  <c r="R15" i="1" s="1"/>
  <c r="Q7" i="1"/>
  <c r="S7" i="1" s="1"/>
  <c r="Q54" i="1"/>
  <c r="R54" i="1" s="1"/>
  <c r="Q34" i="1"/>
  <c r="S34" i="1" s="1"/>
  <c r="Q18" i="1"/>
  <c r="S18" i="1" s="1"/>
  <c r="Q66" i="1"/>
  <c r="S66" i="1" s="1"/>
  <c r="Q56" i="1"/>
  <c r="S56" i="1" s="1"/>
  <c r="Q48" i="1"/>
  <c r="Q16" i="1"/>
  <c r="S16" i="1" s="1"/>
  <c r="Q70" i="1"/>
  <c r="Q68" i="1"/>
  <c r="Q41" i="1"/>
  <c r="S41" i="1" s="1"/>
  <c r="Q17" i="1"/>
  <c r="S17" i="1" s="1"/>
  <c r="P100" i="1"/>
  <c r="Q112" i="1" s="1"/>
  <c r="S112" i="1" s="1"/>
  <c r="Q82" i="1"/>
  <c r="S82" i="1" s="1"/>
  <c r="Q97" i="1"/>
  <c r="S97" i="1" s="1"/>
  <c r="Q94" i="1"/>
  <c r="S94" i="1" s="1"/>
  <c r="Q89" i="1"/>
  <c r="S89" i="1" s="1"/>
  <c r="Q92" i="1"/>
  <c r="R92" i="1" s="1"/>
  <c r="R76" i="1"/>
  <c r="Q91" i="1"/>
  <c r="S91" i="1" s="1"/>
  <c r="Q95" i="1"/>
  <c r="R95" i="1" s="1"/>
  <c r="Q96" i="1"/>
  <c r="S96" i="1" s="1"/>
  <c r="Q79" i="1"/>
  <c r="R79" i="1" s="1"/>
  <c r="Q88" i="1"/>
  <c r="S88" i="1" s="1"/>
  <c r="Q77" i="1"/>
  <c r="R77" i="1" s="1"/>
  <c r="Q90" i="1"/>
  <c r="S90" i="1" s="1"/>
  <c r="Q98" i="1"/>
  <c r="S98" i="1" s="1"/>
  <c r="Q86" i="1"/>
  <c r="R86" i="1" s="1"/>
  <c r="Q87" i="1"/>
  <c r="R87" i="1" s="1"/>
  <c r="Q78" i="1"/>
  <c r="R78" i="1" s="1"/>
  <c r="Q93" i="1"/>
  <c r="R93" i="1" s="1"/>
  <c r="Q85" i="1"/>
  <c r="R85" i="1" s="1"/>
  <c r="Q84" i="1"/>
  <c r="S84" i="1" s="1"/>
  <c r="Q81" i="1"/>
  <c r="R81" i="1" s="1"/>
  <c r="Q83" i="1"/>
  <c r="S83" i="1" s="1"/>
  <c r="Q80" i="1"/>
  <c r="R80" i="1" s="1"/>
  <c r="Q161" i="1"/>
  <c r="Q162" i="1"/>
  <c r="Q168" i="1"/>
  <c r="Q158" i="1"/>
  <c r="Q142" i="1"/>
  <c r="Q156" i="1"/>
  <c r="Q170" i="1"/>
  <c r="Q145" i="1"/>
  <c r="Q175" i="1"/>
  <c r="Q179" i="1"/>
  <c r="Q146" i="1"/>
  <c r="Q149" i="1"/>
  <c r="Q183" i="1"/>
  <c r="Q152" i="1"/>
  <c r="Q167" i="1"/>
  <c r="Q140" i="1"/>
  <c r="Q172" i="1"/>
  <c r="Q148" i="1"/>
  <c r="Q159" i="1"/>
  <c r="Q153" i="1"/>
  <c r="Q141" i="1"/>
  <c r="Q144" i="1"/>
  <c r="Q174" i="1"/>
  <c r="Q163" i="1"/>
  <c r="Q182" i="1"/>
  <c r="Q143" i="1"/>
  <c r="Q147" i="1"/>
  <c r="Q171" i="1"/>
  <c r="Q139" i="1"/>
  <c r="Q169" i="1"/>
  <c r="Q151" i="1"/>
  <c r="Q177" i="1"/>
  <c r="Q178" i="1"/>
  <c r="Q157" i="1"/>
  <c r="Q154" i="1"/>
  <c r="Q164" i="1"/>
  <c r="Q165" i="1"/>
  <c r="Q150" i="1"/>
  <c r="Q166" i="1"/>
  <c r="Q181" i="1"/>
  <c r="Q176" i="1"/>
  <c r="Q155" i="1"/>
  <c r="Q180" i="1"/>
  <c r="Q160" i="1"/>
  <c r="Q173" i="1"/>
  <c r="S48" i="1"/>
  <c r="R10" i="1"/>
  <c r="S26" i="1"/>
  <c r="S58" i="1"/>
  <c r="R6" i="1"/>
  <c r="R14" i="1"/>
  <c r="R38" i="1"/>
  <c r="S46" i="1"/>
  <c r="S62" i="1"/>
  <c r="S70" i="1"/>
  <c r="S19" i="1"/>
  <c r="S23" i="1"/>
  <c r="S27" i="1"/>
  <c r="R35" i="1"/>
  <c r="S39" i="1"/>
  <c r="S55" i="1"/>
  <c r="R59" i="1"/>
  <c r="R63" i="1"/>
  <c r="S67" i="1"/>
  <c r="R8" i="1"/>
  <c r="S20" i="1"/>
  <c r="R36" i="1"/>
  <c r="S44" i="1"/>
  <c r="S60" i="1"/>
  <c r="R68" i="1"/>
  <c r="R29" i="1"/>
  <c r="R37" i="1"/>
  <c r="S49" i="1"/>
  <c r="R57" i="1"/>
  <c r="R61" i="1"/>
  <c r="R65" i="1"/>
  <c r="R69" i="1"/>
  <c r="S12" i="1"/>
  <c r="R24" i="1"/>
  <c r="R32" i="1"/>
  <c r="S4" i="1"/>
  <c r="Q129" i="1" l="1"/>
  <c r="Q108" i="1"/>
  <c r="Q104" i="1"/>
  <c r="Q125" i="1"/>
  <c r="R125" i="1" s="1"/>
  <c r="Q115" i="1"/>
  <c r="Q121" i="1"/>
  <c r="S121" i="1" s="1"/>
  <c r="Q123" i="1"/>
  <c r="Q128" i="1"/>
  <c r="Q126" i="1"/>
  <c r="S126" i="1" s="1"/>
  <c r="Q116" i="1"/>
  <c r="Q122" i="1"/>
  <c r="Q109" i="1"/>
  <c r="Q103" i="1"/>
  <c r="Q114" i="1"/>
  <c r="S114" i="1" s="1"/>
  <c r="Q119" i="1"/>
  <c r="R119" i="1" s="1"/>
  <c r="Q132" i="1"/>
  <c r="Q120" i="1"/>
  <c r="S120" i="1" s="1"/>
  <c r="Q106" i="1"/>
  <c r="Q133" i="1"/>
  <c r="R133" i="1" s="1"/>
  <c r="Q134" i="1"/>
  <c r="S134" i="1" s="1"/>
  <c r="Q117" i="1"/>
  <c r="Q130" i="1"/>
  <c r="Q110" i="1"/>
  <c r="Q107" i="1"/>
  <c r="Q113" i="1"/>
  <c r="R113" i="1" s="1"/>
  <c r="Q118" i="1"/>
  <c r="Q105" i="1"/>
  <c r="Q127" i="1"/>
  <c r="S127" i="1" s="1"/>
  <c r="Q111" i="1"/>
  <c r="Q131" i="1"/>
  <c r="S131" i="1" s="1"/>
  <c r="Q124" i="1"/>
  <c r="R98" i="1"/>
  <c r="R89" i="1"/>
  <c r="S85" i="1"/>
  <c r="S79" i="1"/>
  <c r="S77" i="1"/>
  <c r="S86" i="1"/>
  <c r="R97" i="1"/>
  <c r="R83" i="1"/>
  <c r="S80" i="1"/>
  <c r="R84" i="1"/>
  <c r="S93" i="1"/>
  <c r="R91" i="1"/>
  <c r="R88" i="1"/>
  <c r="R90" i="1"/>
  <c r="S87" i="1"/>
  <c r="R82" i="1"/>
  <c r="S81" i="1"/>
  <c r="S76" i="1"/>
  <c r="S92" i="1"/>
  <c r="R94" i="1"/>
  <c r="S78" i="1"/>
  <c r="R96" i="1"/>
  <c r="S95" i="1"/>
  <c r="S71" i="1"/>
  <c r="S40" i="1"/>
  <c r="S54" i="1"/>
  <c r="R39" i="1"/>
  <c r="R20" i="1"/>
  <c r="R16" i="1"/>
  <c r="R31" i="1"/>
  <c r="S69" i="1"/>
  <c r="S8" i="1"/>
  <c r="R56" i="1"/>
  <c r="R7" i="1"/>
  <c r="R49" i="1"/>
  <c r="S24" i="1"/>
  <c r="R43" i="1"/>
  <c r="R60" i="1"/>
  <c r="S6" i="1"/>
  <c r="R66" i="1"/>
  <c r="R70" i="1"/>
  <c r="R50" i="1"/>
  <c r="R19" i="1"/>
  <c r="S36" i="1"/>
  <c r="S59" i="1"/>
  <c r="R17" i="1"/>
  <c r="S32" i="1"/>
  <c r="R58" i="1"/>
  <c r="R67" i="1"/>
  <c r="S37" i="1"/>
  <c r="R55" i="1"/>
  <c r="S61" i="1"/>
  <c r="S63" i="1"/>
  <c r="R18" i="1"/>
  <c r="S11" i="1"/>
  <c r="R4" i="1"/>
  <c r="S15" i="1"/>
  <c r="S10" i="1"/>
  <c r="R34" i="1"/>
  <c r="S68" i="1"/>
  <c r="S35" i="1"/>
  <c r="S42" i="1"/>
  <c r="S45" i="1"/>
  <c r="R44" i="1"/>
  <c r="S14" i="1"/>
  <c r="R53" i="1"/>
  <c r="R30" i="1"/>
  <c r="S51" i="1"/>
  <c r="R48" i="1"/>
  <c r="S65" i="1"/>
  <c r="R27" i="1"/>
  <c r="S9" i="1"/>
  <c r="S38" i="1"/>
  <c r="S33" i="1"/>
  <c r="R47" i="1"/>
  <c r="R46" i="1"/>
  <c r="R22" i="1"/>
  <c r="R26" i="1"/>
  <c r="R62" i="1"/>
  <c r="R28" i="1"/>
  <c r="R52" i="1"/>
  <c r="S57" i="1"/>
  <c r="R12" i="1"/>
  <c r="S21" i="1"/>
  <c r="S29" i="1"/>
  <c r="R23" i="1"/>
  <c r="R13" i="1"/>
  <c r="R64" i="1"/>
  <c r="S25" i="1"/>
  <c r="S5" i="1"/>
  <c r="R41" i="1"/>
  <c r="R112" i="1"/>
  <c r="S125" i="1" l="1"/>
  <c r="R114" i="1"/>
  <c r="R121" i="1"/>
  <c r="R134" i="1"/>
  <c r="R126" i="1"/>
  <c r="R120" i="1"/>
  <c r="S119" i="1"/>
  <c r="S133" i="1"/>
  <c r="R127" i="1"/>
  <c r="R131" i="1"/>
  <c r="S113" i="1"/>
  <c r="S73" i="1"/>
  <c r="S75" i="1"/>
  <c r="T75" i="1"/>
  <c r="T3" i="1"/>
  <c r="S2" i="1"/>
  <c r="S3" i="1"/>
  <c r="R150" i="1"/>
  <c r="S150" i="1"/>
  <c r="R163" i="1"/>
  <c r="S163" i="1"/>
  <c r="R156" i="1"/>
  <c r="S156" i="1"/>
  <c r="R142" i="1"/>
  <c r="S142" i="1"/>
  <c r="R176" i="1"/>
  <c r="S176" i="1"/>
  <c r="R178" i="1"/>
  <c r="S178" i="1"/>
  <c r="R165" i="1"/>
  <c r="S165" i="1"/>
  <c r="R166" i="1"/>
  <c r="S166" i="1"/>
  <c r="R168" i="1"/>
  <c r="S168" i="1"/>
  <c r="R162" i="1"/>
  <c r="S162" i="1"/>
  <c r="R153" i="1"/>
  <c r="S153" i="1"/>
  <c r="S139" i="1"/>
  <c r="R139" i="1"/>
  <c r="S171" i="1"/>
  <c r="R171" i="1"/>
  <c r="S157" i="1"/>
  <c r="R157" i="1"/>
  <c r="S147" i="1"/>
  <c r="R147" i="1"/>
  <c r="S145" i="1"/>
  <c r="R145" i="1"/>
  <c r="R140" i="1"/>
  <c r="S140" i="1"/>
  <c r="R146" i="1"/>
  <c r="S146" i="1"/>
  <c r="R167" i="1"/>
  <c r="S167" i="1"/>
  <c r="S179" i="1"/>
  <c r="R179" i="1"/>
  <c r="R169" i="1"/>
  <c r="S169" i="1"/>
  <c r="R154" i="1"/>
  <c r="S154" i="1"/>
  <c r="S141" i="1"/>
  <c r="R141" i="1"/>
  <c r="S175" i="1"/>
  <c r="R175" i="1"/>
  <c r="S181" i="1"/>
  <c r="R181" i="1"/>
  <c r="R164" i="1"/>
  <c r="S164" i="1"/>
  <c r="R155" i="1"/>
  <c r="S155" i="1"/>
  <c r="R144" i="1"/>
  <c r="S144" i="1"/>
  <c r="R170" i="1"/>
  <c r="S170" i="1"/>
  <c r="R158" i="1"/>
  <c r="S158" i="1"/>
  <c r="R143" i="1"/>
  <c r="S143" i="1"/>
  <c r="R174" i="1"/>
  <c r="S174" i="1"/>
  <c r="R183" i="1"/>
  <c r="S183" i="1"/>
  <c r="R152" i="1"/>
  <c r="S152" i="1"/>
  <c r="S151" i="1"/>
  <c r="R151" i="1"/>
  <c r="S160" i="1"/>
  <c r="R160" i="1"/>
  <c r="R149" i="1"/>
  <c r="S149" i="1"/>
  <c r="R148" i="1"/>
  <c r="S148" i="1"/>
  <c r="R172" i="1"/>
  <c r="S172" i="1"/>
  <c r="R182" i="1"/>
  <c r="S182" i="1"/>
  <c r="R173" i="1"/>
  <c r="S173" i="1"/>
  <c r="R177" i="1"/>
  <c r="S177" i="1"/>
  <c r="R180" i="1"/>
  <c r="S180" i="1"/>
  <c r="R161" i="1"/>
  <c r="S161" i="1"/>
  <c r="R159" i="1"/>
  <c r="S159" i="1"/>
  <c r="R124" i="1"/>
  <c r="S124" i="1"/>
  <c r="R104" i="1"/>
  <c r="S104" i="1"/>
  <c r="S136" i="1" l="1"/>
  <c r="S138" i="1"/>
  <c r="T138" i="1"/>
  <c r="S106" i="1"/>
  <c r="R106" i="1"/>
  <c r="S103" i="1"/>
  <c r="R103" i="1"/>
  <c r="R105" i="1" l="1"/>
  <c r="S105" i="1"/>
  <c r="R115" i="1"/>
  <c r="S115" i="1"/>
  <c r="S107" i="1" l="1"/>
  <c r="R107" i="1"/>
  <c r="S132" i="1"/>
  <c r="R132" i="1"/>
  <c r="R118" i="1" l="1"/>
  <c r="S118" i="1"/>
  <c r="R108" i="1"/>
  <c r="S108" i="1"/>
  <c r="S116" i="1" l="1"/>
  <c r="R116" i="1"/>
  <c r="S109" i="1"/>
  <c r="R109" i="1"/>
  <c r="R110" i="1" l="1"/>
  <c r="S110" i="1"/>
  <c r="R128" i="1"/>
  <c r="S128" i="1"/>
  <c r="S117" i="1" l="1"/>
  <c r="R117" i="1"/>
  <c r="S122" i="1"/>
  <c r="R122" i="1"/>
  <c r="R111" i="1" l="1"/>
  <c r="S111" i="1"/>
  <c r="R129" i="1"/>
  <c r="S129" i="1"/>
  <c r="S123" i="1" l="1"/>
  <c r="R123" i="1"/>
  <c r="R130" i="1" l="1"/>
  <c r="S130" i="1"/>
  <c r="S101" i="1" s="1"/>
  <c r="T102" i="1" l="1"/>
  <c r="S102" i="1"/>
  <c r="E28" i="4" a="1"/>
  <c r="E28" i="4" s="1"/>
  <c r="Y28" i="4" a="1"/>
  <c r="Y28" i="4" s="1"/>
  <c r="N28" i="4" a="1"/>
  <c r="N28" i="4" s="1"/>
  <c r="AH16" i="15"/>
  <c r="AD16" i="2" l="1"/>
  <c r="AI16" i="15" s="1"/>
  <c r="AB16" i="2"/>
  <c r="AG16" i="15" s="1"/>
  <c r="N2" i="10"/>
  <c r="AA2" i="10" s="1"/>
  <c r="N16" i="2"/>
  <c r="N16" i="15" l="1"/>
  <c r="O16" i="2"/>
  <c r="O16" i="15" s="1"/>
  <c r="AK2" i="10"/>
  <c r="AD2" i="10"/>
  <c r="AE2" i="10" s="1"/>
  <c r="AF2" i="10" s="1"/>
  <c r="AG2" i="10" s="1"/>
  <c r="AH2" i="10" s="1"/>
  <c r="AI2" i="10" s="1"/>
  <c r="N12" i="11" s="1"/>
  <c r="V16" i="2"/>
  <c r="AA16" i="15" s="1"/>
  <c r="AE16" i="2"/>
  <c r="AG16" i="2"/>
  <c r="AH16" i="2" s="1"/>
  <c r="AI16" i="2" s="1"/>
  <c r="AJ16" i="15" l="1"/>
  <c r="AF16" i="2"/>
  <c r="AK16" i="15" s="1"/>
  <c r="AL16" i="15"/>
  <c r="BQ16" i="15" s="1"/>
  <c r="BR16" i="15" s="1"/>
  <c r="BS16" i="15" s="1"/>
  <c r="BT16" i="15" s="1"/>
  <c r="AN16" i="15"/>
  <c r="Y16" i="2"/>
  <c r="BR16" i="2"/>
  <c r="BS16" i="2" s="1"/>
  <c r="BT16" i="2" s="1"/>
  <c r="BU16" i="2" s="1"/>
  <c r="W16" i="2"/>
  <c r="M12" i="11"/>
  <c r="G45" i="11" s="1"/>
  <c r="O12" i="11"/>
  <c r="BT2" i="10"/>
  <c r="BU2" i="10" s="1"/>
  <c r="BV2" i="10" s="1"/>
  <c r="BP2" i="10"/>
  <c r="AO2" i="10"/>
  <c r="AP2" i="10" s="1"/>
  <c r="AQ2" i="10" s="1"/>
  <c r="AB16" i="15" l="1"/>
  <c r="X16" i="2"/>
  <c r="AC16" i="15" s="1"/>
  <c r="AD16" i="15"/>
  <c r="Z16" i="2"/>
  <c r="AA16" i="2" s="1"/>
  <c r="AM16" i="15"/>
  <c r="AS2" i="10"/>
  <c r="AR2" i="10"/>
  <c r="BW2" i="10"/>
  <c r="BX2" i="10"/>
  <c r="AE16" i="15" l="1"/>
  <c r="AF16" i="15"/>
  <c r="AT2" i="10"/>
  <c r="AU2" i="10" s="1"/>
  <c r="AW2" i="10" s="1"/>
  <c r="BY2" i="10"/>
  <c r="BZ2" i="10" s="1"/>
  <c r="CA2" i="10" s="1"/>
  <c r="AV2" i="10" l="1"/>
  <c r="AX2" i="10" s="1"/>
  <c r="AY2" i="10" s="1"/>
  <c r="AZ2" i="10" s="1"/>
  <c r="CB2" i="10"/>
  <c r="CC2" i="10" s="1"/>
  <c r="CD2" i="10" s="1"/>
  <c r="CE2" i="10" s="1"/>
  <c r="BA2" i="10" l="1"/>
  <c r="BB2" i="10" s="1"/>
  <c r="BC2" i="10" s="1"/>
  <c r="BE2" i="10" s="1"/>
  <c r="CF2" i="10"/>
  <c r="CG2" i="10" s="1"/>
  <c r="CH2" i="10" s="1"/>
  <c r="CJ2" i="10" s="1"/>
  <c r="BD2" i="10" l="1"/>
  <c r="BF2" i="10" s="1"/>
  <c r="BG2" i="10" s="1"/>
  <c r="BH2" i="10" s="1"/>
  <c r="CI2" i="10"/>
  <c r="CK2" i="10" s="1"/>
  <c r="CL2" i="10" s="1"/>
  <c r="CN2" i="10" s="1"/>
  <c r="BI2" i="10" l="1"/>
  <c r="BJ2" i="10" s="1"/>
  <c r="BK2" i="10" s="1"/>
  <c r="BM2" i="10" s="1"/>
  <c r="CM2" i="10"/>
  <c r="CO2" i="10" s="1"/>
  <c r="CP2" i="10" s="1"/>
  <c r="CR2" i="10" s="1"/>
  <c r="U12" i="11" l="1"/>
  <c r="T12" i="11" s="1"/>
  <c r="BL2" i="10"/>
  <c r="BN2" i="10" s="1"/>
  <c r="S12" i="11" s="1"/>
  <c r="CQ2" i="10"/>
  <c r="CS2" i="10" s="1"/>
  <c r="AD12" i="11"/>
  <c r="AG12" i="11" s="1"/>
  <c r="V12" i="11" l="1"/>
  <c r="X12" i="11"/>
  <c r="W12" i="11"/>
  <c r="AB12" i="11"/>
  <c r="Y12" i="11"/>
  <c r="AE12" i="11"/>
  <c r="AC12" i="11"/>
  <c r="AF12" i="11"/>
  <c r="H45" i="11"/>
  <c r="J45" i="11" l="1"/>
  <c r="AH12" i="11"/>
</calcChain>
</file>

<file path=xl/sharedStrings.xml><?xml version="1.0" encoding="utf-8"?>
<sst xmlns="http://schemas.openxmlformats.org/spreadsheetml/2006/main" count="545" uniqueCount="252">
  <si>
    <t>Steuerspannung</t>
  </si>
  <si>
    <t>Walzenlänge</t>
  </si>
  <si>
    <t>Bodentemperatur</t>
  </si>
  <si>
    <t>Anzahl Ventilatoren</t>
  </si>
  <si>
    <t>Leiter</t>
  </si>
  <si>
    <t>Drehzahl</t>
  </si>
  <si>
    <t>Volumenstrom</t>
  </si>
  <si>
    <t>Vorlauftemperatur</t>
  </si>
  <si>
    <t>Rücklauftemperatur</t>
  </si>
  <si>
    <t>Raumtemperatur</t>
  </si>
  <si>
    <t>mittlere Wassertemperatur</t>
  </si>
  <si>
    <t>Spreizung</t>
  </si>
  <si>
    <t>Übertemperatur</t>
  </si>
  <si>
    <t>gemessene Leistung</t>
  </si>
  <si>
    <t>Gewichtung</t>
  </si>
  <si>
    <t>Korrekturfaktor</t>
  </si>
  <si>
    <t>Berippte Länge</t>
  </si>
  <si>
    <t>Luftfeuchte (Ansaug)</t>
  </si>
  <si>
    <t>Ansaugtemperatur</t>
  </si>
  <si>
    <t>Anzahl unbenutzte Rohre</t>
  </si>
  <si>
    <t>Anzahl Wasserwege</t>
  </si>
  <si>
    <t>ECO Fehler</t>
  </si>
  <si>
    <t>ECO Leistung sensibel</t>
  </si>
  <si>
    <t>ECO Leistung gesamt</t>
  </si>
  <si>
    <t>relativer Fehler</t>
  </si>
  <si>
    <t>Ausblastemperatur</t>
  </si>
  <si>
    <t>Austrittsfeuchte</t>
  </si>
  <si>
    <t>Absolute Lufteintrittsfeuchte</t>
  </si>
  <si>
    <t>Absolute Luftaustrittsfeuchte</t>
  </si>
  <si>
    <t>Über-/Untertemperatur</t>
  </si>
  <si>
    <t>ob mit Mischung</t>
  </si>
  <si>
    <t>Volumenstromanteil
Raumluft</t>
  </si>
  <si>
    <t>Absolute Feuchte gemischte Luft</t>
  </si>
  <si>
    <t>Relative Feuchte gemischte Luft</t>
  </si>
  <si>
    <t>Vorgabe Kurzschluss</t>
  </si>
  <si>
    <t>Vorgabe Schichtung</t>
  </si>
  <si>
    <t>Sollwerte</t>
  </si>
  <si>
    <t>Volumenstrom (gerundet)</t>
  </si>
  <si>
    <t>sensible Leistung</t>
  </si>
  <si>
    <t>Gesatmleistung</t>
  </si>
  <si>
    <t>Kondensatanfall</t>
  </si>
  <si>
    <t>Volumenstrom Wasser</t>
  </si>
  <si>
    <t>Druckverlust (kPa)</t>
  </si>
  <si>
    <t>Luftaustrittstemperatur</t>
  </si>
  <si>
    <t>mittlere spezifische wärmekapazität Wasser</t>
  </si>
  <si>
    <t>kinematische Viskosität Wasser</t>
  </si>
  <si>
    <t>Wärmeleitfähigkeit Wasser</t>
  </si>
  <si>
    <t>Heizen 2-Leiter</t>
  </si>
  <si>
    <t>Heizen 4-Leiter</t>
  </si>
  <si>
    <t>Kühlen 2-Leiter</t>
  </si>
  <si>
    <t>Kühlen 4-Leiter</t>
  </si>
  <si>
    <t>Heizen</t>
  </si>
  <si>
    <t>Kühlen</t>
  </si>
  <si>
    <t>Wärmebedarf</t>
  </si>
  <si>
    <t>Primärluftvolumenstrom</t>
  </si>
  <si>
    <t>Kühlbedarf gesamt</t>
  </si>
  <si>
    <t>Primärlufttemperatur</t>
  </si>
  <si>
    <t>Kühlbedarf sensibel</t>
  </si>
  <si>
    <t>Max. Schalldruckpegel</t>
  </si>
  <si>
    <t>Kanallänge</t>
  </si>
  <si>
    <t>Stufe</t>
  </si>
  <si>
    <t>2-Leiter</t>
  </si>
  <si>
    <t>4-Leiter</t>
  </si>
  <si>
    <t>Allgemeine Daten</t>
  </si>
  <si>
    <r>
      <t>Q</t>
    </r>
    <r>
      <rPr>
        <b/>
        <vertAlign val="subscript"/>
        <sz val="11"/>
        <color theme="0"/>
        <rFont val="Calibri"/>
        <family val="2"/>
        <scheme val="minor"/>
      </rPr>
      <t>W</t>
    </r>
  </si>
  <si>
    <r>
      <t>t</t>
    </r>
    <r>
      <rPr>
        <b/>
        <vertAlign val="subscript"/>
        <sz val="11"/>
        <color theme="0"/>
        <rFont val="Calibri"/>
        <family val="2"/>
        <scheme val="minor"/>
      </rPr>
      <t>L2</t>
    </r>
  </si>
  <si>
    <r>
      <t>m</t>
    </r>
    <r>
      <rPr>
        <b/>
        <vertAlign val="subscript"/>
        <sz val="11"/>
        <color theme="0"/>
        <rFont val="Calibri"/>
        <family val="2"/>
        <scheme val="minor"/>
      </rPr>
      <t>W</t>
    </r>
  </si>
  <si>
    <r>
      <t>Δp</t>
    </r>
    <r>
      <rPr>
        <b/>
        <vertAlign val="subscript"/>
        <sz val="11"/>
        <color theme="0"/>
        <rFont val="Calibri"/>
        <family val="2"/>
      </rPr>
      <t>W</t>
    </r>
  </si>
  <si>
    <r>
      <t>Q</t>
    </r>
    <r>
      <rPr>
        <b/>
        <vertAlign val="subscript"/>
        <sz val="11"/>
        <color theme="0"/>
        <rFont val="Calibri"/>
        <family val="2"/>
        <scheme val="minor"/>
      </rPr>
      <t>WPRI</t>
    </r>
  </si>
  <si>
    <r>
      <t>Q</t>
    </r>
    <r>
      <rPr>
        <b/>
        <vertAlign val="subscript"/>
        <sz val="11"/>
        <color theme="0"/>
        <rFont val="Calibri"/>
        <family val="2"/>
        <scheme val="minor"/>
      </rPr>
      <t>K, gesamt</t>
    </r>
  </si>
  <si>
    <r>
      <t>Q</t>
    </r>
    <r>
      <rPr>
        <b/>
        <vertAlign val="subscript"/>
        <sz val="11"/>
        <color theme="0"/>
        <rFont val="Calibri"/>
        <family val="2"/>
        <scheme val="minor"/>
      </rPr>
      <t>K, sens.</t>
    </r>
  </si>
  <si>
    <r>
      <t>m</t>
    </r>
    <r>
      <rPr>
        <b/>
        <vertAlign val="subscript"/>
        <sz val="11"/>
        <color theme="0"/>
        <rFont val="Calibri"/>
        <family val="2"/>
      </rPr>
      <t>K</t>
    </r>
  </si>
  <si>
    <r>
      <t>Q</t>
    </r>
    <r>
      <rPr>
        <b/>
        <vertAlign val="subscript"/>
        <sz val="11"/>
        <color theme="0"/>
        <rFont val="Calibri"/>
        <family val="2"/>
        <scheme val="minor"/>
      </rPr>
      <t>KPRI</t>
    </r>
  </si>
  <si>
    <t>V</t>
  </si>
  <si>
    <r>
      <t>L</t>
    </r>
    <r>
      <rPr>
        <b/>
        <vertAlign val="subscript"/>
        <sz val="11"/>
        <color theme="0"/>
        <rFont val="Calibri"/>
        <family val="2"/>
      </rPr>
      <t>PA</t>
    </r>
  </si>
  <si>
    <r>
      <t>L</t>
    </r>
    <r>
      <rPr>
        <b/>
        <vertAlign val="subscript"/>
        <sz val="11"/>
        <color theme="0"/>
        <rFont val="Calibri"/>
        <family val="2"/>
      </rPr>
      <t>WA</t>
    </r>
  </si>
  <si>
    <t>P</t>
  </si>
  <si>
    <t>I</t>
  </si>
  <si>
    <t>realtive Feuchte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</si>
  <si>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L1</t>
    </r>
  </si>
  <si>
    <t>Zustand</t>
  </si>
  <si>
    <t>Legende</t>
  </si>
  <si>
    <t>Kürzel</t>
  </si>
  <si>
    <t>Bezeichnung</t>
  </si>
  <si>
    <t>Erläuterung</t>
  </si>
  <si>
    <t>metrische Einheiten</t>
  </si>
  <si>
    <t>Wärmeleistung</t>
  </si>
  <si>
    <t>W; kW</t>
  </si>
  <si>
    <t>Wärmeleistung Primär</t>
  </si>
  <si>
    <t>Wärmeleistung über Zuluftmodule</t>
  </si>
  <si>
    <t>Kühlleistung gesamt</t>
  </si>
  <si>
    <t>Kühlleistung sensibel</t>
  </si>
  <si>
    <t>Kühlleistung Primär</t>
  </si>
  <si>
    <t>Kühlleistung über Zuluftmodule</t>
  </si>
  <si>
    <t>°C</t>
  </si>
  <si>
    <t>Massenstrom Wasser</t>
  </si>
  <si>
    <t>Wasser im Konvektor</t>
  </si>
  <si>
    <t>kg/h</t>
  </si>
  <si>
    <r>
      <t>V</t>
    </r>
    <r>
      <rPr>
        <b/>
        <vertAlign val="subscript"/>
        <sz val="11"/>
        <color theme="0"/>
        <rFont val="Calibri"/>
        <family val="2"/>
      </rPr>
      <t>K</t>
    </r>
  </si>
  <si>
    <t>Volumenstrom Kondensat</t>
  </si>
  <si>
    <t>l/h</t>
  </si>
  <si>
    <t>Druckverlust Wasser</t>
  </si>
  <si>
    <t>Pa; kPa</t>
  </si>
  <si>
    <t>Luftvolumenstrom</t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</si>
  <si>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/h</t>
    </r>
  </si>
  <si>
    <t>Schalldruckpegel</t>
  </si>
  <si>
    <t>dB(A)</t>
  </si>
  <si>
    <t>Schallleistungspegel</t>
  </si>
  <si>
    <t>Leistungsaufnahme</t>
  </si>
  <si>
    <t>elektrische Leistung Ventilator</t>
  </si>
  <si>
    <t>W</t>
  </si>
  <si>
    <t>Stromaufnahme</t>
  </si>
  <si>
    <t>elektrische Stromaufnahme Ventilator</t>
  </si>
  <si>
    <t>mA; A</t>
  </si>
  <si>
    <t>Vorlauf</t>
  </si>
  <si>
    <t>Rücklauf</t>
  </si>
  <si>
    <t>Raum</t>
  </si>
  <si>
    <t>Feuchte</t>
  </si>
  <si>
    <r>
      <t>Q</t>
    </r>
    <r>
      <rPr>
        <vertAlign val="subscript"/>
        <sz val="11"/>
        <color theme="1"/>
        <rFont val="Calibri"/>
        <family val="2"/>
        <scheme val="minor"/>
      </rPr>
      <t>W</t>
    </r>
  </si>
  <si>
    <r>
      <t>t</t>
    </r>
    <r>
      <rPr>
        <vertAlign val="subscript"/>
        <sz val="11"/>
        <color theme="1"/>
        <rFont val="Calibri"/>
        <family val="2"/>
        <scheme val="minor"/>
      </rPr>
      <t>L2</t>
    </r>
  </si>
  <si>
    <r>
      <t>m</t>
    </r>
    <r>
      <rPr>
        <vertAlign val="subscript"/>
        <sz val="11"/>
        <color theme="1"/>
        <rFont val="Calibri"/>
        <family val="2"/>
        <scheme val="minor"/>
      </rPr>
      <t>H</t>
    </r>
  </si>
  <si>
    <r>
      <t>R</t>
    </r>
    <r>
      <rPr>
        <vertAlign val="subscript"/>
        <sz val="11"/>
        <color theme="1"/>
        <rFont val="Calibri"/>
        <family val="2"/>
      </rPr>
      <t>H</t>
    </r>
  </si>
  <si>
    <r>
      <t>Q</t>
    </r>
    <r>
      <rPr>
        <vertAlign val="subscript"/>
        <sz val="11"/>
        <color theme="1"/>
        <rFont val="Calibri"/>
        <family val="2"/>
        <scheme val="minor"/>
      </rPr>
      <t>K, gesamt</t>
    </r>
  </si>
  <si>
    <r>
      <t>Q</t>
    </r>
    <r>
      <rPr>
        <vertAlign val="subscript"/>
        <sz val="11"/>
        <color theme="1"/>
        <rFont val="Calibri"/>
        <family val="2"/>
        <scheme val="minor"/>
      </rPr>
      <t>K, sens.</t>
    </r>
  </si>
  <si>
    <r>
      <t>m</t>
    </r>
    <r>
      <rPr>
        <vertAlign val="subscript"/>
        <sz val="11"/>
        <color theme="1"/>
        <rFont val="Calibri"/>
        <family val="2"/>
        <scheme val="minor"/>
      </rPr>
      <t>K</t>
    </r>
  </si>
  <si>
    <r>
      <t>R</t>
    </r>
    <r>
      <rPr>
        <vertAlign val="subscript"/>
        <sz val="11"/>
        <color theme="1"/>
        <rFont val="Calibri"/>
        <family val="2"/>
      </rPr>
      <t>K</t>
    </r>
  </si>
  <si>
    <t>Kondensat</t>
  </si>
  <si>
    <t>Lpa</t>
  </si>
  <si>
    <t>Lwa</t>
  </si>
  <si>
    <t>Kanallänge L</t>
  </si>
  <si>
    <t>Leistungen</t>
  </si>
  <si>
    <t>Leistung</t>
  </si>
  <si>
    <t>Spreizung 1</t>
  </si>
  <si>
    <t>mittl. Wassertemp</t>
  </si>
  <si>
    <t>Spreizung 2</t>
  </si>
  <si>
    <t>cp</t>
  </si>
  <si>
    <t>k1</t>
  </si>
  <si>
    <t>k2</t>
  </si>
  <si>
    <t>e1</t>
  </si>
  <si>
    <t>e2</t>
  </si>
  <si>
    <t>e3</t>
  </si>
  <si>
    <t>e4</t>
  </si>
  <si>
    <t>e5</t>
  </si>
  <si>
    <t>Druckverlust</t>
  </si>
  <si>
    <t>0,0010551*x^1,7437</t>
  </si>
  <si>
    <t xml:space="preserve"> 0,0012797*x^1,773</t>
  </si>
  <si>
    <t xml:space="preserve"> 0,00028227*x^1,7599</t>
  </si>
  <si>
    <t xml:space="preserve"> 0,00033778*x^1,7661</t>
  </si>
  <si>
    <t xml:space="preserve"> 0,00014367*x^1,7562</t>
  </si>
  <si>
    <t xml:space="preserve"> 0,00016803*x^1,7688</t>
  </si>
  <si>
    <t>0,00090879*x^1,8254</t>
  </si>
  <si>
    <t>0,0015976*x^1,7732</t>
  </si>
  <si>
    <t>0,00032601*x^1,7733</t>
  </si>
  <si>
    <t>0,0003326*x^1,8063</t>
  </si>
  <si>
    <t>0,00015861*x^1,7759</t>
  </si>
  <si>
    <t>0,00017425*x^1,7977</t>
  </si>
  <si>
    <t>0,00049103*x^1,5514</t>
  </si>
  <si>
    <t xml:space="preserve"> 0,00039605*x^1,7088</t>
  </si>
  <si>
    <t xml:space="preserve"> 0,00054927*x^1,7275</t>
  </si>
  <si>
    <t xml:space="preserve"> 0,00057148*x^1,764</t>
  </si>
  <si>
    <t xml:space="preserve"> 0,00077444*x^1,7521</t>
  </si>
  <si>
    <t xml:space="preserve"> 0,00095493*x^1,7569</t>
  </si>
  <si>
    <t>0,00099843*x^1,7385</t>
  </si>
  <si>
    <t>0,0010784*x^1,7916</t>
  </si>
  <si>
    <t>0,00023414*x^1,7777</t>
  </si>
  <si>
    <t>0,00031286*x^1,7659</t>
  </si>
  <si>
    <t>0,000092533*x^1,8158</t>
  </si>
  <si>
    <t>0,00013555*x^1,7907</t>
  </si>
  <si>
    <t>Feuchte Kühlung</t>
  </si>
  <si>
    <t>Konstante</t>
  </si>
  <si>
    <t>Untertemperatur</t>
  </si>
  <si>
    <t>mittl. Temperatur</t>
  </si>
  <si>
    <t>Ausblastemperaturen</t>
  </si>
  <si>
    <t>Temperatur</t>
  </si>
  <si>
    <t>Mttl. temperatur</t>
  </si>
  <si>
    <t>Walzenlänge+Drehzahl</t>
  </si>
  <si>
    <t>Faktor Mittl.temperatur</t>
  </si>
  <si>
    <t>f1</t>
  </si>
  <si>
    <t>Schall bei individueller Drehzahl</t>
  </si>
  <si>
    <t>Prozentuale Drehzahl</t>
  </si>
  <si>
    <t>RGP-Funktion</t>
  </si>
  <si>
    <t>a</t>
  </si>
  <si>
    <t>b</t>
  </si>
  <si>
    <t>c</t>
  </si>
  <si>
    <t>d</t>
  </si>
  <si>
    <t>e</t>
  </si>
  <si>
    <t>Gesamt</t>
  </si>
  <si>
    <t>Schall über Leistung - Vergleich</t>
  </si>
  <si>
    <t>BG 2212</t>
  </si>
  <si>
    <t>M3G045</t>
  </si>
  <si>
    <t>rel. Ausblasfeuchte</t>
  </si>
  <si>
    <t>Wasserdampfstrom durch Konvektor</t>
  </si>
  <si>
    <t>minus Kondensat</t>
  </si>
  <si>
    <t>absolute Feuchte Raum</t>
  </si>
  <si>
    <t>absolute Feuchte Ausblas</t>
  </si>
  <si>
    <t>Feuchtkugeltemperatur</t>
  </si>
  <si>
    <t>Kurzschluss-Multi Wall HK</t>
  </si>
  <si>
    <t>Fan Speed</t>
  </si>
  <si>
    <t>Unit length</t>
  </si>
  <si>
    <t>Supply temperature</t>
  </si>
  <si>
    <t>Return temperatue</t>
  </si>
  <si>
    <t>2 pipe</t>
  </si>
  <si>
    <t>4 pipe</t>
  </si>
  <si>
    <t>Heating</t>
  </si>
  <si>
    <t>Cooling</t>
  </si>
  <si>
    <t>General data</t>
  </si>
  <si>
    <t>%</t>
  </si>
  <si>
    <t>Unit system</t>
  </si>
  <si>
    <t>imperial</t>
  </si>
  <si>
    <t>metric</t>
  </si>
  <si>
    <t>Propyleneglycol</t>
  </si>
  <si>
    <t>Glycol</t>
  </si>
  <si>
    <t>relative humidity</t>
  </si>
  <si>
    <t>mA</t>
  </si>
  <si>
    <t>Entering air temperature</t>
  </si>
  <si>
    <t>Leaving air temperature</t>
  </si>
  <si>
    <t>heating capacity</t>
  </si>
  <si>
    <t>water flow</t>
  </si>
  <si>
    <t>water pressure drop</t>
  </si>
  <si>
    <t>condensate</t>
  </si>
  <si>
    <t>leaving air humidity</t>
  </si>
  <si>
    <t>leaving wet bulb temperature</t>
  </si>
  <si>
    <t>cooling capacity, total</t>
  </si>
  <si>
    <t>cooling capacity, sensible</t>
  </si>
  <si>
    <t>air flow</t>
  </si>
  <si>
    <t>sound pressure level</t>
  </si>
  <si>
    <t>sound power level</t>
  </si>
  <si>
    <t>power consumption</t>
  </si>
  <si>
    <t>current consumption</t>
  </si>
  <si>
    <t>max in</t>
  </si>
  <si>
    <t>max out</t>
  </si>
  <si>
    <t>min in</t>
  </si>
  <si>
    <t>min out</t>
  </si>
  <si>
    <t>max room</t>
  </si>
  <si>
    <t>min room</t>
  </si>
  <si>
    <t>max humid</t>
  </si>
  <si>
    <t>min humid</t>
  </si>
  <si>
    <t>max dTc</t>
  </si>
  <si>
    <t>max dT2c</t>
  </si>
  <si>
    <t>min dTc</t>
  </si>
  <si>
    <t>min dT2c</t>
  </si>
  <si>
    <t>max dTh</t>
  </si>
  <si>
    <t>max dT2h</t>
  </si>
  <si>
    <t>min dTh</t>
  </si>
  <si>
    <t>min dT2h</t>
  </si>
  <si>
    <t>Return temperature</t>
  </si>
  <si>
    <t>output</t>
  </si>
  <si>
    <t>pressure cooling</t>
  </si>
  <si>
    <t>pressure heating</t>
  </si>
  <si>
    <t>ethylene glycol</t>
  </si>
  <si>
    <t>propylene glycol</t>
  </si>
  <si>
    <t>V 1.04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</si>
</sst>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164" formatCode="0.00\ &quot;V&quot;"/>
    <numFmt numFmtId="165" formatCode="0\ &quot;mm&quot;"/>
    <numFmt numFmtId="166" formatCode="0.00\ &quot;°C&quot;"/>
    <numFmt numFmtId="167" formatCode="0\ &quot;m³/h&quot;"/>
    <numFmt numFmtId="168" formatCode="0\ &quot;W&quot;"/>
    <numFmt numFmtId="169" formatCode="0.0%"/>
    <numFmt numFmtId="170" formatCode="0\ &quot;% rF&quot;"/>
    <numFmt numFmtId="171" formatCode="0.0\ &quot;°C&quot;"/>
    <numFmt numFmtId="172" formatCode="0.0\ &quot;g/kg&quot;"/>
    <numFmt numFmtId="173" formatCode="0.0000"/>
    <numFmt numFmtId="174" formatCode="0.0000E+00"/>
    <numFmt numFmtId="175" formatCode="0.0"/>
    <numFmt numFmtId="176" formatCode="#,#00&quot; W&quot;"/>
    <numFmt numFmtId="177" formatCode="0.000000"/>
    <numFmt numFmtId="178" formatCode="0.0&quot; °C&quot;"/>
    <numFmt numFmtId="179" formatCode="0&quot; l/h&quot;"/>
    <numFmt numFmtId="180" formatCode="0.0&quot; kPa&quot;"/>
    <numFmt numFmtId="181" formatCode="0&quot; m³/h&quot;"/>
    <numFmt numFmtId="182" formatCode="0&quot; mm&quot;"/>
    <numFmt numFmtId="183" formatCode="0&quot; °C&quot;"/>
    <numFmt numFmtId="184" formatCode="0&quot; %&quot;"/>
    <numFmt numFmtId="185" formatCode="[$-407]mmmm;@"/>
    <numFmt numFmtId="186" formatCode="0.00&quot; l/h&quot;"/>
    <numFmt numFmtId="187" formatCode="0\ &quot;Hz&quot;"/>
    <numFmt numFmtId="188" formatCode="0.0\ &quot;dB(A)&quot;"/>
    <numFmt numFmtId="189" formatCode="0.0&quot; dB(A)&quot;"/>
    <numFmt numFmtId="190" formatCode="0&quot; dB(A)&quot;"/>
    <numFmt numFmtId="191" formatCode="0.0&quot; W&quot;"/>
    <numFmt numFmtId="192" formatCode="0&quot; mA&quot;"/>
    <numFmt numFmtId="193" formatCode="0.00&quot; dB(A)&quot;"/>
    <numFmt numFmtId="194" formatCode="#,#00&quot; 1/min&quot;"/>
    <numFmt numFmtId="195" formatCode="#,#00&quot; mm&quot;"/>
    <numFmt numFmtId="196" formatCode="0.00&quot; °C&quot;"/>
    <numFmt numFmtId="197" formatCode="0&quot; W&quot;"/>
    <numFmt numFmtId="198" formatCode="#,##0&quot; W&quot;"/>
    <numFmt numFmtId="199" formatCode="#,##0&quot; rpm&quot;"/>
    <numFmt numFmtId="200" formatCode="0.000\ &quot;l/m³&quot;"/>
    <numFmt numFmtId="201" formatCode="0.0\ &quot;l/h&quot;"/>
  </numFmts>
  <fonts count="19" x14ac:knownFonts="1">
    <font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Calibri"/>
      <family val="2"/>
    </font>
    <font>
      <sz val="10"/>
      <color rgb="FF000000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</font>
    <font>
      <b/>
      <sz val="16"/>
      <color theme="0"/>
      <name val="Calibri"/>
      <family val="2"/>
      <scheme val="minor"/>
    </font>
    <font>
      <b/>
      <vertAlign val="subscript"/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vertAlign val="subscript"/>
      <sz val="11"/>
      <color theme="0"/>
      <name val="Calibri"/>
      <family val="2"/>
    </font>
    <font>
      <b/>
      <sz val="36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1"/>
      <color theme="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0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double">
        <color theme="0"/>
      </right>
      <top/>
      <bottom/>
      <diagonal/>
    </border>
    <border>
      <left style="double">
        <color theme="0"/>
      </left>
      <right/>
      <top style="thin">
        <color theme="0"/>
      </top>
      <bottom/>
      <diagonal/>
    </border>
    <border>
      <left/>
      <right style="double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double">
        <color theme="0" tint="-0.34998626667073579"/>
      </left>
      <right style="thin">
        <color theme="0" tint="-0.34998626667073579"/>
      </right>
      <top/>
      <bottom/>
      <diagonal/>
    </border>
    <border>
      <left style="double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double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theme="0" tint="-0.24994659260841701"/>
      </right>
      <top/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/>
      </bottom>
      <diagonal/>
    </border>
    <border>
      <left/>
      <right style="thin">
        <color theme="0" tint="-0.24994659260841701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/>
      </top>
      <bottom style="thin">
        <color theme="0"/>
      </bottom>
      <diagonal/>
    </border>
    <border>
      <left/>
      <right style="thin">
        <color theme="0" tint="-0.24994659260841701"/>
      </right>
      <top style="thin">
        <color theme="0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/>
      </top>
      <bottom/>
      <diagonal/>
    </border>
    <border>
      <left/>
      <right style="thin">
        <color theme="0" tint="-0.24994659260841701"/>
      </right>
      <top style="thin">
        <color theme="0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 tint="-0.24994659260841701"/>
      </bottom>
      <diagonal/>
    </border>
    <border>
      <left/>
      <right style="thin">
        <color theme="4"/>
      </right>
      <top style="thin">
        <color theme="4"/>
      </top>
      <bottom style="thin">
        <color theme="0" tint="-0.24994659260841701"/>
      </bottom>
      <diagonal/>
    </border>
    <border>
      <left style="thin">
        <color theme="4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/>
      <top style="thin">
        <color theme="0" tint="-0.24994659260841701"/>
      </top>
      <bottom style="thin">
        <color theme="4"/>
      </bottom>
      <diagonal/>
    </border>
    <border>
      <left/>
      <right style="thin">
        <color theme="4"/>
      </right>
      <top style="thin">
        <color theme="0" tint="-0.24994659260841701"/>
      </top>
      <bottom style="thin">
        <color theme="4"/>
      </bottom>
      <diagonal/>
    </border>
    <border>
      <left style="thin">
        <color theme="4"/>
      </left>
      <right/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double">
        <color theme="0" tint="-0.24994659260841701"/>
      </right>
      <top/>
      <bottom/>
      <diagonal/>
    </border>
    <border>
      <left style="thin">
        <color theme="0" tint="-0.24994659260841701"/>
      </left>
      <right style="double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 style="thin">
        <color theme="0"/>
      </left>
      <right style="double">
        <color theme="0"/>
      </right>
      <top/>
      <bottom style="thin">
        <color theme="0"/>
      </bottom>
      <diagonal/>
    </border>
    <border>
      <left style="thin">
        <color theme="0"/>
      </left>
      <right style="double">
        <color theme="0"/>
      </right>
      <top style="thin">
        <color theme="0"/>
      </top>
      <bottom/>
      <diagonal/>
    </border>
    <border>
      <left style="double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4"/>
      </right>
      <top/>
      <bottom/>
      <diagonal/>
    </border>
    <border>
      <left/>
      <right/>
      <top/>
      <bottom style="thin">
        <color theme="4"/>
      </bottom>
      <diagonal/>
    </border>
    <border>
      <left/>
      <right style="thin">
        <color theme="0" tint="-0.24994659260841701"/>
      </right>
      <top style="thin">
        <color theme="0"/>
      </top>
      <bottom style="thin">
        <color theme="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/>
      </top>
      <bottom style="thin">
        <color theme="4"/>
      </bottom>
      <diagonal/>
    </border>
    <border>
      <left style="thin">
        <color theme="0" tint="-0.24994659260841701"/>
      </left>
      <right style="double">
        <color theme="0" tint="-0.24994659260841701"/>
      </right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 style="thin">
        <color theme="0"/>
      </left>
      <right/>
      <top/>
      <bottom style="thin">
        <color theme="4"/>
      </bottom>
      <diagonal/>
    </border>
    <border>
      <left style="thin">
        <color theme="0" tint="-0.24994659260841701"/>
      </left>
      <right style="thin">
        <color theme="4"/>
      </right>
      <top/>
      <bottom style="thin">
        <color theme="0"/>
      </bottom>
      <diagonal/>
    </border>
    <border>
      <left style="thin">
        <color theme="0" tint="-0.24994659260841701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4"/>
      </right>
      <top style="thin">
        <color theme="0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4"/>
      </right>
      <top style="thin">
        <color theme="0"/>
      </top>
      <bottom/>
      <diagonal/>
    </border>
    <border>
      <left style="thin">
        <color theme="0" tint="-0.24994659260841701"/>
      </left>
      <right style="thin">
        <color theme="4"/>
      </right>
      <top style="thin">
        <color theme="0" tint="-0.24994659260841701"/>
      </top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4"/>
      </bottom>
      <diagonal/>
    </border>
    <border>
      <left style="thin">
        <color theme="0" tint="-0.34998626667073579"/>
      </left>
      <right/>
      <top/>
      <bottom style="thin">
        <color theme="4"/>
      </bottom>
      <diagonal/>
    </border>
    <border>
      <left style="thin">
        <color theme="0" tint="-0.24994659260841701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/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auto="1"/>
      </left>
      <right/>
      <top style="thin">
        <color auto="1"/>
      </top>
      <bottom style="thin">
        <color theme="0"/>
      </bottom>
      <diagonal/>
    </border>
    <border>
      <left style="thin">
        <color auto="1"/>
      </left>
      <right/>
      <top style="thin">
        <color theme="0"/>
      </top>
      <bottom style="thin">
        <color theme="0"/>
      </bottom>
      <diagonal/>
    </border>
    <border>
      <left style="thin">
        <color auto="1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auto="1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4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double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0" tint="-0.24994659260841701"/>
      </left>
      <right style="thin">
        <color theme="0" tint="-0.34998626667073579"/>
      </right>
      <top style="thin">
        <color theme="0"/>
      </top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24994659260841701"/>
      </right>
      <top/>
      <bottom/>
      <diagonal/>
    </border>
  </borders>
  <cellStyleXfs count="1">
    <xf numFmtId="0" fontId="0" fillId="0" borderId="0"/>
  </cellStyleXfs>
  <cellXfs count="456">
    <xf numFmtId="0" fontId="0" fillId="0" borderId="0" xfId="0"/>
    <xf numFmtId="171" fontId="0" fillId="0" borderId="0" xfId="0" applyNumberFormat="1"/>
    <xf numFmtId="170" fontId="0" fillId="0" borderId="0" xfId="0" applyNumberFormat="1"/>
    <xf numFmtId="172" fontId="0" fillId="0" borderId="0" xfId="0" applyNumberFormat="1"/>
    <xf numFmtId="164" fontId="0" fillId="0" borderId="0" xfId="0" applyNumberFormat="1"/>
    <xf numFmtId="166" fontId="0" fillId="0" borderId="0" xfId="0" applyNumberFormat="1"/>
    <xf numFmtId="165" fontId="0" fillId="0" borderId="0" xfId="0" applyNumberFormat="1"/>
    <xf numFmtId="9" fontId="0" fillId="0" borderId="0" xfId="0" applyNumberFormat="1"/>
    <xf numFmtId="0" fontId="0" fillId="0" borderId="0" xfId="0" applyAlignment="1">
      <alignment horizontal="center" textRotation="90" wrapText="1"/>
    </xf>
    <xf numFmtId="2" fontId="0" fillId="0" borderId="0" xfId="0" applyNumberFormat="1"/>
    <xf numFmtId="10" fontId="0" fillId="0" borderId="0" xfId="0" applyNumberFormat="1"/>
    <xf numFmtId="1" fontId="0" fillId="0" borderId="0" xfId="0" applyNumberFormat="1"/>
    <xf numFmtId="167" fontId="0" fillId="0" borderId="0" xfId="0" applyNumberFormat="1"/>
    <xf numFmtId="168" fontId="0" fillId="0" borderId="0" xfId="0" applyNumberFormat="1"/>
    <xf numFmtId="169" fontId="0" fillId="0" borderId="0" xfId="0" applyNumberFormat="1"/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73" fontId="0" fillId="0" borderId="0" xfId="0" applyNumberFormat="1"/>
    <xf numFmtId="0" fontId="0" fillId="0" borderId="0" xfId="0" applyAlignment="1">
      <alignment horizontal="center" wrapText="1"/>
    </xf>
    <xf numFmtId="173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 wrapText="1"/>
    </xf>
    <xf numFmtId="174" fontId="0" fillId="0" borderId="0" xfId="0" applyNumberFormat="1"/>
    <xf numFmtId="0" fontId="0" fillId="0" borderId="1" xfId="0" applyBorder="1"/>
    <xf numFmtId="176" fontId="0" fillId="0" borderId="2" xfId="0" applyNumberFormat="1" applyBorder="1" applyAlignment="1">
      <alignment horizontal="center"/>
    </xf>
    <xf numFmtId="176" fontId="0" fillId="0" borderId="3" xfId="0" applyNumberFormat="1" applyBorder="1" applyAlignment="1">
      <alignment horizontal="center"/>
    </xf>
    <xf numFmtId="177" fontId="0" fillId="0" borderId="0" xfId="0" applyNumberFormat="1" applyAlignment="1">
      <alignment horizontal="center" wrapText="1"/>
    </xf>
    <xf numFmtId="177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78" fontId="0" fillId="0" borderId="2" xfId="0" applyNumberFormat="1" applyBorder="1" applyAlignment="1">
      <alignment horizontal="center"/>
    </xf>
    <xf numFmtId="178" fontId="0" fillId="0" borderId="3" xfId="0" applyNumberFormat="1" applyBorder="1" applyAlignment="1">
      <alignment horizontal="center"/>
    </xf>
    <xf numFmtId="0" fontId="0" fillId="0" borderId="2" xfId="0" applyBorder="1"/>
    <xf numFmtId="175" fontId="0" fillId="0" borderId="0" xfId="0" applyNumberFormat="1"/>
    <xf numFmtId="0" fontId="0" fillId="0" borderId="4" xfId="0" applyBorder="1"/>
    <xf numFmtId="176" fontId="0" fillId="0" borderId="5" xfId="0" applyNumberFormat="1" applyBorder="1" applyAlignment="1">
      <alignment horizontal="center"/>
    </xf>
    <xf numFmtId="178" fontId="0" fillId="0" borderId="5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179" fontId="0" fillId="0" borderId="7" xfId="0" applyNumberFormat="1" applyBorder="1" applyAlignment="1">
      <alignment horizontal="center"/>
    </xf>
    <xf numFmtId="179" fontId="0" fillId="0" borderId="8" xfId="0" applyNumberFormat="1" applyBorder="1" applyAlignment="1">
      <alignment horizontal="center"/>
    </xf>
    <xf numFmtId="179" fontId="0" fillId="0" borderId="9" xfId="0" applyNumberFormat="1" applyBorder="1" applyAlignment="1">
      <alignment horizontal="center"/>
    </xf>
    <xf numFmtId="180" fontId="0" fillId="0" borderId="5" xfId="0" applyNumberFormat="1" applyBorder="1" applyAlignment="1">
      <alignment horizontal="center"/>
    </xf>
    <xf numFmtId="180" fontId="0" fillId="0" borderId="2" xfId="0" applyNumberFormat="1" applyBorder="1" applyAlignment="1">
      <alignment horizontal="center"/>
    </xf>
    <xf numFmtId="180" fontId="0" fillId="0" borderId="3" xfId="0" applyNumberFormat="1" applyBorder="1" applyAlignment="1">
      <alignment horizontal="center"/>
    </xf>
    <xf numFmtId="180" fontId="0" fillId="0" borderId="4" xfId="0" applyNumberFormat="1" applyBorder="1" applyAlignment="1">
      <alignment horizontal="center"/>
    </xf>
    <xf numFmtId="180" fontId="0" fillId="0" borderId="0" xfId="0" applyNumberFormat="1" applyAlignment="1">
      <alignment horizontal="center"/>
    </xf>
    <xf numFmtId="180" fontId="0" fillId="0" borderId="1" xfId="0" applyNumberFormat="1" applyBorder="1" applyAlignment="1">
      <alignment horizontal="center"/>
    </xf>
    <xf numFmtId="181" fontId="0" fillId="0" borderId="7" xfId="0" applyNumberFormat="1" applyBorder="1" applyAlignment="1">
      <alignment horizontal="center"/>
    </xf>
    <xf numFmtId="181" fontId="0" fillId="0" borderId="8" xfId="0" applyNumberFormat="1" applyBorder="1" applyAlignment="1">
      <alignment horizontal="center"/>
    </xf>
    <xf numFmtId="181" fontId="0" fillId="0" borderId="9" xfId="0" applyNumberFormat="1" applyBorder="1" applyAlignment="1">
      <alignment horizontal="center"/>
    </xf>
    <xf numFmtId="0" fontId="2" fillId="0" borderId="0" xfId="0" applyFont="1" applyAlignment="1">
      <alignment horizontal="center"/>
    </xf>
    <xf numFmtId="182" fontId="0" fillId="0" borderId="4" xfId="0" applyNumberFormat="1" applyBorder="1" applyAlignment="1">
      <alignment horizontal="center"/>
    </xf>
    <xf numFmtId="182" fontId="0" fillId="0" borderId="0" xfId="0" applyNumberFormat="1" applyAlignment="1">
      <alignment horizontal="center"/>
    </xf>
    <xf numFmtId="182" fontId="0" fillId="0" borderId="1" xfId="0" applyNumberFormat="1" applyBorder="1" applyAlignment="1">
      <alignment horizontal="center"/>
    </xf>
    <xf numFmtId="180" fontId="0" fillId="0" borderId="9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183" fontId="0" fillId="0" borderId="0" xfId="0" applyNumberFormat="1" applyAlignment="1">
      <alignment horizontal="center"/>
    </xf>
    <xf numFmtId="183" fontId="0" fillId="0" borderId="6" xfId="0" applyNumberFormat="1" applyBorder="1" applyAlignment="1">
      <alignment horizontal="center"/>
    </xf>
    <xf numFmtId="184" fontId="0" fillId="0" borderId="6" xfId="0" applyNumberFormat="1" applyBorder="1" applyAlignment="1">
      <alignment horizontal="center"/>
    </xf>
    <xf numFmtId="185" fontId="4" fillId="0" borderId="0" xfId="0" applyNumberFormat="1" applyFont="1"/>
    <xf numFmtId="184" fontId="0" fillId="0" borderId="4" xfId="0" applyNumberFormat="1" applyBorder="1" applyAlignment="1">
      <alignment horizontal="center"/>
    </xf>
    <xf numFmtId="184" fontId="0" fillId="0" borderId="0" xfId="0" applyNumberFormat="1" applyAlignment="1">
      <alignment horizontal="center"/>
    </xf>
    <xf numFmtId="184" fontId="0" fillId="0" borderId="1" xfId="0" applyNumberFormat="1" applyBorder="1" applyAlignment="1">
      <alignment horizontal="center"/>
    </xf>
    <xf numFmtId="186" fontId="0" fillId="0" borderId="5" xfId="0" applyNumberFormat="1" applyBorder="1" applyAlignment="1">
      <alignment horizontal="center"/>
    </xf>
    <xf numFmtId="186" fontId="0" fillId="0" borderId="2" xfId="0" applyNumberFormat="1" applyBorder="1" applyAlignment="1">
      <alignment horizontal="center"/>
    </xf>
    <xf numFmtId="186" fontId="0" fillId="0" borderId="3" xfId="0" applyNumberFormat="1" applyBorder="1" applyAlignment="1">
      <alignment horizontal="center"/>
    </xf>
    <xf numFmtId="187" fontId="0" fillId="0" borderId="0" xfId="0" applyNumberFormat="1"/>
    <xf numFmtId="189" fontId="0" fillId="0" borderId="0" xfId="0" applyNumberFormat="1"/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190" fontId="0" fillId="0" borderId="0" xfId="0" applyNumberFormat="1" applyAlignment="1">
      <alignment horizontal="right"/>
    </xf>
    <xf numFmtId="191" fontId="0" fillId="0" borderId="0" xfId="0" applyNumberFormat="1"/>
    <xf numFmtId="192" fontId="0" fillId="0" borderId="0" xfId="0" applyNumberFormat="1"/>
    <xf numFmtId="0" fontId="0" fillId="0" borderId="1" xfId="0" applyBorder="1" applyAlignment="1">
      <alignment horizontal="center"/>
    </xf>
    <xf numFmtId="188" fontId="2" fillId="2" borderId="0" xfId="0" applyNumberFormat="1" applyFont="1" applyFill="1" applyAlignment="1">
      <alignment horizontal="left" indent="1"/>
    </xf>
    <xf numFmtId="193" fontId="0" fillId="0" borderId="6" xfId="0" applyNumberFormat="1" applyBorder="1"/>
    <xf numFmtId="189" fontId="0" fillId="0" borderId="6" xfId="0" applyNumberFormat="1" applyBorder="1"/>
    <xf numFmtId="176" fontId="0" fillId="0" borderId="6" xfId="0" applyNumberFormat="1" applyBorder="1" applyAlignment="1">
      <alignment horizontal="center"/>
    </xf>
    <xf numFmtId="176" fontId="0" fillId="0" borderId="0" xfId="0" applyNumberFormat="1" applyAlignment="1">
      <alignment horizontal="center"/>
    </xf>
    <xf numFmtId="194" fontId="0" fillId="0" borderId="0" xfId="0" applyNumberFormat="1" applyAlignment="1">
      <alignment horizontal="center"/>
    </xf>
    <xf numFmtId="0" fontId="0" fillId="0" borderId="15" xfId="0" applyBorder="1"/>
    <xf numFmtId="0" fontId="5" fillId="0" borderId="0" xfId="0" applyFont="1"/>
    <xf numFmtId="0" fontId="5" fillId="0" borderId="0" xfId="0" applyFont="1" applyAlignment="1">
      <alignment wrapText="1"/>
    </xf>
    <xf numFmtId="0" fontId="5" fillId="0" borderId="2" xfId="0" applyFont="1" applyBorder="1" applyAlignment="1">
      <alignment horizontal="center" wrapText="1"/>
    </xf>
    <xf numFmtId="188" fontId="0" fillId="0" borderId="2" xfId="0" applyNumberFormat="1" applyBorder="1" applyAlignment="1">
      <alignment horizontal="center"/>
    </xf>
    <xf numFmtId="189" fontId="0" fillId="0" borderId="2" xfId="0" applyNumberFormat="1" applyBorder="1" applyAlignment="1">
      <alignment horizontal="center"/>
    </xf>
    <xf numFmtId="0" fontId="5" fillId="0" borderId="1" xfId="0" applyFont="1" applyBorder="1"/>
    <xf numFmtId="194" fontId="5" fillId="0" borderId="3" xfId="0" applyNumberFormat="1" applyFont="1" applyBorder="1" applyAlignment="1">
      <alignment horizontal="center"/>
    </xf>
    <xf numFmtId="0" fontId="5" fillId="0" borderId="14" xfId="0" applyFont="1" applyBorder="1"/>
    <xf numFmtId="194" fontId="5" fillId="0" borderId="1" xfId="0" applyNumberFormat="1" applyFont="1" applyBorder="1" applyAlignment="1">
      <alignment horizontal="center"/>
    </xf>
    <xf numFmtId="189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88" fontId="2" fillId="0" borderId="0" xfId="0" applyNumberFormat="1" applyFont="1" applyAlignment="1">
      <alignment horizontal="left" indent="1"/>
    </xf>
    <xf numFmtId="189" fontId="0" fillId="0" borderId="8" xfId="0" applyNumberFormat="1" applyBorder="1" applyAlignment="1">
      <alignment horizontal="center"/>
    </xf>
    <xf numFmtId="189" fontId="0" fillId="0" borderId="9" xfId="0" applyNumberFormat="1" applyBorder="1" applyAlignment="1">
      <alignment horizontal="center"/>
    </xf>
    <xf numFmtId="189" fontId="0" fillId="0" borderId="7" xfId="0" applyNumberFormat="1" applyBorder="1" applyAlignment="1">
      <alignment horizontal="center"/>
    </xf>
    <xf numFmtId="178" fontId="0" fillId="0" borderId="0" xfId="0" applyNumberFormat="1"/>
    <xf numFmtId="195" fontId="0" fillId="0" borderId="0" xfId="0" applyNumberFormat="1"/>
    <xf numFmtId="196" fontId="0" fillId="0" borderId="0" xfId="0" applyNumberFormat="1"/>
    <xf numFmtId="197" fontId="0" fillId="0" borderId="0" xfId="0" applyNumberFormat="1"/>
    <xf numFmtId="0" fontId="0" fillId="0" borderId="0" xfId="0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center"/>
    </xf>
    <xf numFmtId="0" fontId="0" fillId="5" borderId="0" xfId="0" applyFill="1" applyAlignment="1">
      <alignment vertical="center"/>
    </xf>
    <xf numFmtId="0" fontId="6" fillId="5" borderId="0" xfId="0" applyFont="1" applyFill="1"/>
    <xf numFmtId="0" fontId="6" fillId="5" borderId="0" xfId="0" applyFont="1" applyFill="1" applyAlignment="1">
      <alignment horizontal="center"/>
    </xf>
    <xf numFmtId="183" fontId="6" fillId="5" borderId="0" xfId="0" applyNumberFormat="1" applyFont="1" applyFill="1" applyAlignment="1">
      <alignment horizontal="left"/>
    </xf>
    <xf numFmtId="183" fontId="6" fillId="5" borderId="0" xfId="0" applyNumberFormat="1" applyFont="1" applyFill="1" applyAlignment="1">
      <alignment horizontal="center"/>
    </xf>
    <xf numFmtId="0" fontId="6" fillId="5" borderId="0" xfId="0" applyFont="1" applyFill="1" applyAlignment="1">
      <alignment vertical="center"/>
    </xf>
    <xf numFmtId="190" fontId="0" fillId="5" borderId="0" xfId="0" applyNumberFormat="1" applyFill="1" applyAlignment="1">
      <alignment horizontal="center"/>
    </xf>
    <xf numFmtId="195" fontId="0" fillId="5" borderId="0" xfId="0" applyNumberFormat="1" applyFill="1" applyAlignment="1">
      <alignment horizontal="center" vertical="center"/>
    </xf>
    <xf numFmtId="195" fontId="6" fillId="5" borderId="0" xfId="0" applyNumberFormat="1" applyFont="1" applyFill="1" applyAlignment="1">
      <alignment horizontal="center" vertical="center"/>
    </xf>
    <xf numFmtId="195" fontId="6" fillId="3" borderId="0" xfId="0" applyNumberFormat="1" applyFont="1" applyFill="1" applyAlignment="1">
      <alignment horizontal="center" vertical="center"/>
    </xf>
    <xf numFmtId="199" fontId="0" fillId="5" borderId="0" xfId="0" applyNumberFormat="1" applyFill="1" applyAlignment="1">
      <alignment horizontal="center"/>
    </xf>
    <xf numFmtId="199" fontId="6" fillId="5" borderId="0" xfId="0" applyNumberFormat="1" applyFont="1" applyFill="1" applyAlignment="1">
      <alignment horizontal="center"/>
    </xf>
    <xf numFmtId="199" fontId="6" fillId="3" borderId="0" xfId="0" applyNumberFormat="1" applyFont="1" applyFill="1" applyAlignment="1">
      <alignment horizontal="center"/>
    </xf>
    <xf numFmtId="167" fontId="0" fillId="5" borderId="0" xfId="0" applyNumberFormat="1" applyFill="1"/>
    <xf numFmtId="166" fontId="0" fillId="5" borderId="0" xfId="0" applyNumberFormat="1" applyFill="1"/>
    <xf numFmtId="0" fontId="8" fillId="5" borderId="0" xfId="0" applyFont="1" applyFill="1" applyAlignment="1">
      <alignment horizontal="center"/>
    </xf>
    <xf numFmtId="178" fontId="6" fillId="5" borderId="0" xfId="0" applyNumberFormat="1" applyFont="1" applyFill="1" applyAlignment="1">
      <alignment horizontal="center"/>
    </xf>
    <xf numFmtId="184" fontId="7" fillId="3" borderId="25" xfId="0" applyNumberFormat="1" applyFont="1" applyFill="1" applyBorder="1" applyAlignment="1">
      <alignment horizontal="center"/>
    </xf>
    <xf numFmtId="184" fontId="7" fillId="3" borderId="27" xfId="0" applyNumberFormat="1" applyFont="1" applyFill="1" applyBorder="1" applyAlignment="1">
      <alignment horizontal="center"/>
    </xf>
    <xf numFmtId="181" fontId="0" fillId="4" borderId="31" xfId="0" applyNumberFormat="1" applyFill="1" applyBorder="1" applyAlignment="1">
      <alignment horizontal="center"/>
    </xf>
    <xf numFmtId="0" fontId="8" fillId="5" borderId="0" xfId="0" applyFont="1" applyFill="1" applyAlignment="1">
      <alignment horizontal="center" vertical="center"/>
    </xf>
    <xf numFmtId="178" fontId="6" fillId="5" borderId="0" xfId="0" applyNumberFormat="1" applyFont="1" applyFill="1" applyAlignment="1">
      <alignment horizontal="center" vertical="center"/>
    </xf>
    <xf numFmtId="0" fontId="13" fillId="5" borderId="0" xfId="0" applyFont="1" applyFill="1" applyAlignment="1">
      <alignment vertical="center"/>
    </xf>
    <xf numFmtId="0" fontId="7" fillId="3" borderId="39" xfId="0" applyFont="1" applyFill="1" applyBorder="1" applyAlignment="1">
      <alignment horizontal="center"/>
    </xf>
    <xf numFmtId="0" fontId="11" fillId="3" borderId="39" xfId="0" applyFont="1" applyFill="1" applyBorder="1" applyAlignment="1">
      <alignment horizontal="center"/>
    </xf>
    <xf numFmtId="0" fontId="11" fillId="3" borderId="40" xfId="0" applyFont="1" applyFill="1" applyBorder="1" applyAlignment="1">
      <alignment horizontal="center"/>
    </xf>
    <xf numFmtId="178" fontId="14" fillId="0" borderId="0" xfId="0" applyNumberFormat="1" applyFont="1"/>
    <xf numFmtId="178" fontId="0" fillId="0" borderId="0" xfId="0" applyNumberFormat="1" applyAlignment="1">
      <alignment horizontal="center"/>
    </xf>
    <xf numFmtId="178" fontId="6" fillId="0" borderId="0" xfId="0" applyNumberFormat="1" applyFont="1"/>
    <xf numFmtId="0" fontId="0" fillId="5" borderId="0" xfId="0" applyFill="1" applyAlignment="1">
      <alignment horizontal="center" vertical="center"/>
    </xf>
    <xf numFmtId="178" fontId="0" fillId="5" borderId="0" xfId="0" applyNumberFormat="1" applyFill="1" applyAlignment="1">
      <alignment horizontal="center"/>
    </xf>
    <xf numFmtId="178" fontId="6" fillId="5" borderId="0" xfId="0" applyNumberFormat="1" applyFont="1" applyFill="1"/>
    <xf numFmtId="0" fontId="7" fillId="3" borderId="26" xfId="0" applyFont="1" applyFill="1" applyBorder="1" applyAlignment="1">
      <alignment horizontal="center"/>
    </xf>
    <xf numFmtId="0" fontId="6" fillId="3" borderId="43" xfId="0" applyFont="1" applyFill="1" applyBorder="1" applyAlignment="1">
      <alignment horizontal="center" vertical="center"/>
    </xf>
    <xf numFmtId="0" fontId="7" fillId="3" borderId="42" xfId="0" applyFont="1" applyFill="1" applyBorder="1" applyAlignment="1">
      <alignment horizontal="center"/>
    </xf>
    <xf numFmtId="179" fontId="0" fillId="4" borderId="46" xfId="0" applyNumberFormat="1" applyFill="1" applyBorder="1" applyAlignment="1">
      <alignment horizontal="center" vertical="center"/>
    </xf>
    <xf numFmtId="176" fontId="5" fillId="0" borderId="47" xfId="0" applyNumberFormat="1" applyFont="1" applyBorder="1" applyAlignment="1">
      <alignment horizontal="center" vertical="center"/>
    </xf>
    <xf numFmtId="178" fontId="5" fillId="0" borderId="47" xfId="0" applyNumberFormat="1" applyFont="1" applyBorder="1" applyAlignment="1">
      <alignment horizontal="center" vertical="center"/>
    </xf>
    <xf numFmtId="180" fontId="0" fillId="0" borderId="47" xfId="0" applyNumberFormat="1" applyBorder="1" applyAlignment="1">
      <alignment horizontal="center"/>
    </xf>
    <xf numFmtId="178" fontId="0" fillId="0" borderId="47" xfId="0" applyNumberFormat="1" applyBorder="1" applyAlignment="1">
      <alignment horizontal="center" vertical="center"/>
    </xf>
    <xf numFmtId="186" fontId="0" fillId="0" borderId="47" xfId="0" applyNumberFormat="1" applyBorder="1" applyAlignment="1">
      <alignment horizontal="center"/>
    </xf>
    <xf numFmtId="179" fontId="0" fillId="4" borderId="48" xfId="0" applyNumberFormat="1" applyFill="1" applyBorder="1" applyAlignment="1">
      <alignment horizontal="center" vertical="center"/>
    </xf>
    <xf numFmtId="176" fontId="5" fillId="0" borderId="49" xfId="0" applyNumberFormat="1" applyFont="1" applyBorder="1" applyAlignment="1">
      <alignment horizontal="center" vertical="center"/>
    </xf>
    <xf numFmtId="178" fontId="5" fillId="0" borderId="49" xfId="0" applyNumberFormat="1" applyFont="1" applyBorder="1" applyAlignment="1">
      <alignment horizontal="center" vertical="center"/>
    </xf>
    <xf numFmtId="180" fontId="0" fillId="0" borderId="49" xfId="0" applyNumberFormat="1" applyBorder="1" applyAlignment="1">
      <alignment horizontal="center"/>
    </xf>
    <xf numFmtId="178" fontId="0" fillId="0" borderId="49" xfId="0" applyNumberFormat="1" applyBorder="1" applyAlignment="1">
      <alignment horizontal="center" vertical="center"/>
    </xf>
    <xf numFmtId="186" fontId="0" fillId="0" borderId="49" xfId="0" applyNumberFormat="1" applyBorder="1" applyAlignment="1">
      <alignment horizontal="center"/>
    </xf>
    <xf numFmtId="179" fontId="0" fillId="4" borderId="50" xfId="0" applyNumberFormat="1" applyFill="1" applyBorder="1" applyAlignment="1">
      <alignment horizontal="center" vertical="center"/>
    </xf>
    <xf numFmtId="176" fontId="5" fillId="0" borderId="51" xfId="0" applyNumberFormat="1" applyFont="1" applyBorder="1" applyAlignment="1">
      <alignment horizontal="center" vertical="center"/>
    </xf>
    <xf numFmtId="178" fontId="5" fillId="0" borderId="51" xfId="0" applyNumberFormat="1" applyFont="1" applyBorder="1" applyAlignment="1">
      <alignment horizontal="center" vertical="center"/>
    </xf>
    <xf numFmtId="180" fontId="0" fillId="0" borderId="51" xfId="0" applyNumberFormat="1" applyBorder="1" applyAlignment="1">
      <alignment horizontal="center"/>
    </xf>
    <xf numFmtId="178" fontId="0" fillId="0" borderId="51" xfId="0" applyNumberFormat="1" applyBorder="1" applyAlignment="1">
      <alignment horizontal="center" vertical="center"/>
    </xf>
    <xf numFmtId="186" fontId="0" fillId="0" borderId="51" xfId="0" applyNumberFormat="1" applyBorder="1" applyAlignment="1">
      <alignment horizontal="center"/>
    </xf>
    <xf numFmtId="179" fontId="0" fillId="4" borderId="52" xfId="0" applyNumberFormat="1" applyFill="1" applyBorder="1" applyAlignment="1">
      <alignment horizontal="center" vertical="center"/>
    </xf>
    <xf numFmtId="176" fontId="5" fillId="0" borderId="53" xfId="0" applyNumberFormat="1" applyFont="1" applyBorder="1" applyAlignment="1">
      <alignment horizontal="center" vertical="center"/>
    </xf>
    <xf numFmtId="178" fontId="5" fillId="0" borderId="53" xfId="0" applyNumberFormat="1" applyFont="1" applyBorder="1" applyAlignment="1">
      <alignment horizontal="center" vertical="center"/>
    </xf>
    <xf numFmtId="180" fontId="0" fillId="0" borderId="53" xfId="0" applyNumberFormat="1" applyBorder="1" applyAlignment="1">
      <alignment horizontal="center"/>
    </xf>
    <xf numFmtId="178" fontId="0" fillId="0" borderId="53" xfId="0" applyNumberFormat="1" applyBorder="1" applyAlignment="1">
      <alignment horizontal="center" vertical="center"/>
    </xf>
    <xf numFmtId="186" fontId="0" fillId="0" borderId="53" xfId="0" applyNumberFormat="1" applyBorder="1" applyAlignment="1">
      <alignment horizontal="center"/>
    </xf>
    <xf numFmtId="179" fontId="0" fillId="4" borderId="54" xfId="0" applyNumberFormat="1" applyFill="1" applyBorder="1" applyAlignment="1">
      <alignment horizontal="center" vertical="center"/>
    </xf>
    <xf numFmtId="176" fontId="5" fillId="0" borderId="55" xfId="0" applyNumberFormat="1" applyFont="1" applyBorder="1" applyAlignment="1">
      <alignment horizontal="center" vertical="center"/>
    </xf>
    <xf numFmtId="178" fontId="5" fillId="0" borderId="55" xfId="0" applyNumberFormat="1" applyFont="1" applyBorder="1" applyAlignment="1">
      <alignment horizontal="center" vertical="center"/>
    </xf>
    <xf numFmtId="180" fontId="0" fillId="0" borderId="55" xfId="0" applyNumberFormat="1" applyBorder="1" applyAlignment="1">
      <alignment horizontal="center"/>
    </xf>
    <xf numFmtId="178" fontId="0" fillId="0" borderId="55" xfId="0" applyNumberFormat="1" applyBorder="1" applyAlignment="1">
      <alignment horizontal="center" vertical="center"/>
    </xf>
    <xf numFmtId="186" fontId="0" fillId="0" borderId="55" xfId="0" applyNumberFormat="1" applyBorder="1" applyAlignment="1">
      <alignment horizontal="center"/>
    </xf>
    <xf numFmtId="198" fontId="0" fillId="0" borderId="58" xfId="0" applyNumberFormat="1" applyBorder="1" applyAlignment="1">
      <alignment horizontal="center"/>
    </xf>
    <xf numFmtId="178" fontId="0" fillId="0" borderId="58" xfId="0" applyNumberFormat="1" applyBorder="1" applyAlignment="1">
      <alignment horizontal="center"/>
    </xf>
    <xf numFmtId="181" fontId="0" fillId="0" borderId="59" xfId="0" applyNumberFormat="1" applyBorder="1" applyAlignment="1">
      <alignment horizontal="center"/>
    </xf>
    <xf numFmtId="190" fontId="0" fillId="0" borderId="62" xfId="0" applyNumberFormat="1" applyBorder="1" applyAlignment="1">
      <alignment horizontal="center"/>
    </xf>
    <xf numFmtId="178" fontId="0" fillId="0" borderId="62" xfId="0" applyNumberFormat="1" applyBorder="1" applyAlignment="1">
      <alignment horizontal="center"/>
    </xf>
    <xf numFmtId="183" fontId="0" fillId="0" borderId="63" xfId="0" applyNumberFormat="1" applyBorder="1" applyAlignment="1">
      <alignment horizontal="center"/>
    </xf>
    <xf numFmtId="198" fontId="0" fillId="0" borderId="16" xfId="0" applyNumberFormat="1" applyBorder="1" applyAlignment="1">
      <alignment horizontal="center"/>
    </xf>
    <xf numFmtId="178" fontId="0" fillId="0" borderId="16" xfId="0" applyNumberFormat="1" applyBorder="1" applyAlignment="1">
      <alignment horizontal="center"/>
    </xf>
    <xf numFmtId="184" fontId="0" fillId="0" borderId="63" xfId="0" applyNumberFormat="1" applyBorder="1" applyAlignment="1">
      <alignment horizontal="center"/>
    </xf>
    <xf numFmtId="0" fontId="0" fillId="5" borderId="21" xfId="0" applyFill="1" applyBorder="1"/>
    <xf numFmtId="0" fontId="0" fillId="5" borderId="72" xfId="0" applyFill="1" applyBorder="1"/>
    <xf numFmtId="195" fontId="0" fillId="0" borderId="72" xfId="0" applyNumberFormat="1" applyBorder="1"/>
    <xf numFmtId="0" fontId="0" fillId="0" borderId="72" xfId="0" applyBorder="1" applyAlignment="1">
      <alignment horizontal="center"/>
    </xf>
    <xf numFmtId="179" fontId="0" fillId="4" borderId="73" xfId="0" applyNumberFormat="1" applyFill="1" applyBorder="1" applyAlignment="1">
      <alignment horizontal="center" vertical="center"/>
    </xf>
    <xf numFmtId="176" fontId="5" fillId="0" borderId="74" xfId="0" applyNumberFormat="1" applyFont="1" applyBorder="1" applyAlignment="1">
      <alignment horizontal="center" vertical="center"/>
    </xf>
    <xf numFmtId="178" fontId="5" fillId="0" borderId="74" xfId="0" applyNumberFormat="1" applyFont="1" applyBorder="1" applyAlignment="1">
      <alignment horizontal="center" vertical="center"/>
    </xf>
    <xf numFmtId="180" fontId="0" fillId="0" borderId="74" xfId="0" applyNumberFormat="1" applyBorder="1" applyAlignment="1">
      <alignment horizontal="center"/>
    </xf>
    <xf numFmtId="178" fontId="0" fillId="0" borderId="74" xfId="0" applyNumberFormat="1" applyBorder="1" applyAlignment="1">
      <alignment horizontal="center" vertical="center"/>
    </xf>
    <xf numFmtId="186" fontId="0" fillId="0" borderId="74" xfId="0" applyNumberFormat="1" applyBorder="1" applyAlignment="1">
      <alignment horizontal="center"/>
    </xf>
    <xf numFmtId="184" fontId="7" fillId="3" borderId="41" xfId="0" applyNumberFormat="1" applyFont="1" applyFill="1" applyBorder="1" applyAlignment="1">
      <alignment horizontal="center"/>
    </xf>
    <xf numFmtId="184" fontId="7" fillId="3" borderId="77" xfId="0" applyNumberFormat="1" applyFont="1" applyFill="1" applyBorder="1" applyAlignment="1">
      <alignment horizontal="center"/>
    </xf>
    <xf numFmtId="189" fontId="0" fillId="6" borderId="28" xfId="0" applyNumberFormat="1" applyFill="1" applyBorder="1" applyAlignment="1">
      <alignment horizontal="center"/>
    </xf>
    <xf numFmtId="189" fontId="0" fillId="6" borderId="34" xfId="0" applyNumberFormat="1" applyFill="1" applyBorder="1" applyAlignment="1">
      <alignment horizontal="center"/>
    </xf>
    <xf numFmtId="189" fontId="0" fillId="6" borderId="29" xfId="0" applyNumberFormat="1" applyFill="1" applyBorder="1" applyAlignment="1">
      <alignment horizontal="center"/>
    </xf>
    <xf numFmtId="189" fontId="0" fillId="6" borderId="35" xfId="0" applyNumberFormat="1" applyFill="1" applyBorder="1" applyAlignment="1">
      <alignment horizontal="center"/>
    </xf>
    <xf numFmtId="189" fontId="0" fillId="6" borderId="30" xfId="0" applyNumberFormat="1" applyFill="1" applyBorder="1" applyAlignment="1">
      <alignment horizontal="center"/>
    </xf>
    <xf numFmtId="189" fontId="0" fillId="6" borderId="36" xfId="0" applyNumberFormat="1" applyFill="1" applyBorder="1" applyAlignment="1">
      <alignment horizontal="center"/>
    </xf>
    <xf numFmtId="191" fontId="0" fillId="0" borderId="47" xfId="0" applyNumberFormat="1" applyBorder="1" applyAlignment="1">
      <alignment horizontal="center" vertical="center"/>
    </xf>
    <xf numFmtId="191" fontId="0" fillId="0" borderId="49" xfId="0" applyNumberFormat="1" applyBorder="1" applyAlignment="1">
      <alignment horizontal="center" vertical="center"/>
    </xf>
    <xf numFmtId="191" fontId="0" fillId="0" borderId="51" xfId="0" applyNumberFormat="1" applyBorder="1" applyAlignment="1">
      <alignment horizontal="center" vertical="center"/>
    </xf>
    <xf numFmtId="191" fontId="0" fillId="0" borderId="53" xfId="0" applyNumberFormat="1" applyBorder="1" applyAlignment="1">
      <alignment horizontal="center" vertical="center"/>
    </xf>
    <xf numFmtId="191" fontId="0" fillId="0" borderId="55" xfId="0" applyNumberFormat="1" applyBorder="1" applyAlignment="1">
      <alignment horizontal="center" vertical="center"/>
    </xf>
    <xf numFmtId="192" fontId="0" fillId="0" borderId="78" xfId="0" applyNumberFormat="1" applyBorder="1" applyAlignment="1">
      <alignment horizontal="center"/>
    </xf>
    <xf numFmtId="192" fontId="0" fillId="0" borderId="79" xfId="0" applyNumberFormat="1" applyBorder="1" applyAlignment="1">
      <alignment horizontal="center"/>
    </xf>
    <xf numFmtId="192" fontId="0" fillId="0" borderId="80" xfId="0" applyNumberFormat="1" applyBorder="1" applyAlignment="1">
      <alignment horizontal="center"/>
    </xf>
    <xf numFmtId="192" fontId="0" fillId="0" borderId="81" xfId="0" applyNumberFormat="1" applyBorder="1" applyAlignment="1">
      <alignment horizontal="center"/>
    </xf>
    <xf numFmtId="192" fontId="0" fillId="0" borderId="82" xfId="0" applyNumberFormat="1" applyBorder="1" applyAlignment="1">
      <alignment horizontal="center"/>
    </xf>
    <xf numFmtId="189" fontId="0" fillId="6" borderId="83" xfId="0" applyNumberFormat="1" applyFill="1" applyBorder="1" applyAlignment="1">
      <alignment horizontal="center"/>
    </xf>
    <xf numFmtId="189" fontId="0" fillId="6" borderId="84" xfId="0" applyNumberFormat="1" applyFill="1" applyBorder="1" applyAlignment="1">
      <alignment horizontal="center"/>
    </xf>
    <xf numFmtId="191" fontId="0" fillId="0" borderId="74" xfId="0" applyNumberFormat="1" applyBorder="1" applyAlignment="1">
      <alignment horizontal="center" vertical="center"/>
    </xf>
    <xf numFmtId="192" fontId="0" fillId="0" borderId="85" xfId="0" applyNumberFormat="1" applyBorder="1" applyAlignment="1">
      <alignment horizontal="center"/>
    </xf>
    <xf numFmtId="181" fontId="0" fillId="6" borderId="86" xfId="0" applyNumberFormat="1" applyFill="1" applyBorder="1" applyAlignment="1">
      <alignment horizontal="center"/>
    </xf>
    <xf numFmtId="181" fontId="0" fillId="6" borderId="87" xfId="0" applyNumberFormat="1" applyFill="1" applyBorder="1" applyAlignment="1">
      <alignment horizontal="center"/>
    </xf>
    <xf numFmtId="181" fontId="0" fillId="6" borderId="88" xfId="0" applyNumberFormat="1" applyFill="1" applyBorder="1" applyAlignment="1">
      <alignment horizontal="center"/>
    </xf>
    <xf numFmtId="181" fontId="0" fillId="6" borderId="89" xfId="0" applyNumberFormat="1" applyFill="1" applyBorder="1" applyAlignment="1">
      <alignment horizontal="center"/>
    </xf>
    <xf numFmtId="184" fontId="0" fillId="5" borderId="0" xfId="0" applyNumberFormat="1" applyFill="1" applyAlignment="1">
      <alignment horizontal="center"/>
    </xf>
    <xf numFmtId="180" fontId="0" fillId="6" borderId="28" xfId="0" applyNumberFormat="1" applyFill="1" applyBorder="1" applyAlignment="1">
      <alignment horizontal="center"/>
    </xf>
    <xf numFmtId="180" fontId="0" fillId="6" borderId="29" xfId="0" applyNumberFormat="1" applyFill="1" applyBorder="1" applyAlignment="1">
      <alignment horizontal="center"/>
    </xf>
    <xf numFmtId="180" fontId="0" fillId="6" borderId="30" xfId="0" applyNumberFormat="1" applyFill="1" applyBorder="1" applyAlignment="1">
      <alignment horizontal="center"/>
    </xf>
    <xf numFmtId="178" fontId="0" fillId="0" borderId="44" xfId="0" applyNumberFormat="1" applyBorder="1" applyAlignment="1">
      <alignment horizontal="center" vertical="center"/>
    </xf>
    <xf numFmtId="178" fontId="0" fillId="0" borderId="45" xfId="0" applyNumberFormat="1" applyBorder="1" applyAlignment="1">
      <alignment horizontal="center" vertical="center"/>
    </xf>
    <xf numFmtId="0" fontId="11" fillId="3" borderId="90" xfId="0" applyFont="1" applyFill="1" applyBorder="1" applyAlignment="1">
      <alignment horizontal="center"/>
    </xf>
    <xf numFmtId="198" fontId="7" fillId="3" borderId="69" xfId="0" applyNumberFormat="1" applyFont="1" applyFill="1" applyBorder="1" applyAlignment="1">
      <alignment horizontal="center" vertical="center"/>
    </xf>
    <xf numFmtId="0" fontId="7" fillId="3" borderId="43" xfId="0" applyFont="1" applyFill="1" applyBorder="1" applyAlignment="1">
      <alignment horizontal="center" vertical="center"/>
    </xf>
    <xf numFmtId="0" fontId="7" fillId="3" borderId="91" xfId="0" applyFont="1" applyFill="1" applyBorder="1" applyAlignment="1">
      <alignment horizontal="center"/>
    </xf>
    <xf numFmtId="198" fontId="7" fillId="3" borderId="92" xfId="0" applyNumberFormat="1" applyFont="1" applyFill="1" applyBorder="1" applyAlignment="1">
      <alignment horizontal="center" vertical="center"/>
    </xf>
    <xf numFmtId="0" fontId="7" fillId="3" borderId="92" xfId="0" applyFont="1" applyFill="1" applyBorder="1" applyAlignment="1">
      <alignment horizontal="center" vertical="center"/>
    </xf>
    <xf numFmtId="0" fontId="7" fillId="3" borderId="92" xfId="0" applyFont="1" applyFill="1" applyBorder="1" applyAlignment="1">
      <alignment horizontal="center"/>
    </xf>
    <xf numFmtId="0" fontId="11" fillId="3" borderId="92" xfId="0" applyFont="1" applyFill="1" applyBorder="1" applyAlignment="1">
      <alignment horizontal="center"/>
    </xf>
    <xf numFmtId="0" fontId="11" fillId="3" borderId="93" xfId="0" applyFont="1" applyFill="1" applyBorder="1" applyAlignment="1">
      <alignment horizontal="center"/>
    </xf>
    <xf numFmtId="0" fontId="0" fillId="7" borderId="94" xfId="0" applyFill="1" applyBorder="1" applyAlignment="1">
      <alignment horizontal="left" vertical="center"/>
    </xf>
    <xf numFmtId="0" fontId="0" fillId="7" borderId="19" xfId="0" applyFill="1" applyBorder="1" applyAlignment="1">
      <alignment horizontal="left" vertical="center"/>
    </xf>
    <xf numFmtId="0" fontId="0" fillId="7" borderId="95" xfId="0" applyFill="1" applyBorder="1" applyAlignment="1">
      <alignment horizontal="left" vertical="center"/>
    </xf>
    <xf numFmtId="0" fontId="9" fillId="5" borderId="0" xfId="0" applyFont="1" applyFill="1" applyAlignment="1">
      <alignment horizontal="center" vertical="center"/>
    </xf>
    <xf numFmtId="181" fontId="0" fillId="0" borderId="96" xfId="0" applyNumberFormat="1" applyBorder="1" applyAlignment="1">
      <alignment horizontal="center"/>
    </xf>
    <xf numFmtId="178" fontId="0" fillId="0" borderId="97" xfId="0" applyNumberFormat="1" applyBorder="1" applyAlignment="1">
      <alignment horizontal="center" vertical="center"/>
    </xf>
    <xf numFmtId="0" fontId="7" fillId="3" borderId="40" xfId="0" applyFont="1" applyFill="1" applyBorder="1" applyAlignment="1">
      <alignment horizontal="center"/>
    </xf>
    <xf numFmtId="2" fontId="6" fillId="5" borderId="0" xfId="0" applyNumberFormat="1" applyFont="1" applyFill="1"/>
    <xf numFmtId="0" fontId="9" fillId="5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5" fillId="0" borderId="0" xfId="0" applyFont="1" applyAlignment="1">
      <alignment horizontal="center" wrapText="1"/>
    </xf>
    <xf numFmtId="0" fontId="7" fillId="3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200" fontId="0" fillId="0" borderId="0" xfId="0" applyNumberFormat="1"/>
    <xf numFmtId="201" fontId="0" fillId="0" borderId="0" xfId="0" applyNumberFormat="1"/>
    <xf numFmtId="9" fontId="0" fillId="0" borderId="0" xfId="0" applyNumberFormat="1" applyAlignment="1">
      <alignment horizontal="center"/>
    </xf>
    <xf numFmtId="183" fontId="0" fillId="5" borderId="0" xfId="0" applyNumberFormat="1" applyFill="1" applyAlignment="1">
      <alignment horizontal="center"/>
    </xf>
    <xf numFmtId="4" fontId="6" fillId="3" borderId="0" xfId="0" applyNumberFormat="1" applyFont="1" applyFill="1" applyAlignment="1">
      <alignment horizontal="center" vertical="center"/>
    </xf>
    <xf numFmtId="181" fontId="0" fillId="4" borderId="101" xfId="0" applyNumberFormat="1" applyFill="1" applyBorder="1" applyAlignment="1">
      <alignment horizontal="center"/>
    </xf>
    <xf numFmtId="0" fontId="7" fillId="5" borderId="0" xfId="0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180" fontId="0" fillId="5" borderId="0" xfId="0" applyNumberFormat="1" applyFill="1" applyAlignment="1">
      <alignment horizontal="center"/>
    </xf>
    <xf numFmtId="195" fontId="6" fillId="3" borderId="0" xfId="0" applyNumberFormat="1" applyFont="1" applyFill="1" applyAlignment="1">
      <alignment horizontal="center" vertical="center" wrapText="1"/>
    </xf>
    <xf numFmtId="1" fontId="7" fillId="3" borderId="25" xfId="0" applyNumberFormat="1" applyFont="1" applyFill="1" applyBorder="1" applyAlignment="1">
      <alignment horizontal="center"/>
    </xf>
    <xf numFmtId="1" fontId="7" fillId="3" borderId="27" xfId="0" applyNumberFormat="1" applyFont="1" applyFill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184" fontId="0" fillId="0" borderId="0" xfId="0" applyNumberFormat="1"/>
    <xf numFmtId="0" fontId="0" fillId="6" borderId="0" xfId="0" applyFill="1" applyAlignment="1">
      <alignment horizontal="center"/>
    </xf>
    <xf numFmtId="184" fontId="0" fillId="6" borderId="0" xfId="0" applyNumberFormat="1" applyFill="1" applyAlignment="1">
      <alignment horizontal="center"/>
    </xf>
    <xf numFmtId="175" fontId="0" fillId="6" borderId="34" xfId="0" applyNumberFormat="1" applyFill="1" applyBorder="1" applyAlignment="1">
      <alignment horizontal="center"/>
    </xf>
    <xf numFmtId="175" fontId="0" fillId="6" borderId="35" xfId="0" applyNumberFormat="1" applyFill="1" applyBorder="1" applyAlignment="1">
      <alignment horizontal="center"/>
    </xf>
    <xf numFmtId="175" fontId="0" fillId="6" borderId="36" xfId="0" applyNumberFormat="1" applyFill="1" applyBorder="1" applyAlignment="1">
      <alignment horizontal="center"/>
    </xf>
    <xf numFmtId="175" fontId="0" fillId="6" borderId="84" xfId="0" applyNumberFormat="1" applyFill="1" applyBorder="1" applyAlignment="1">
      <alignment horizontal="center"/>
    </xf>
    <xf numFmtId="175" fontId="0" fillId="0" borderId="47" xfId="0" applyNumberFormat="1" applyBorder="1" applyAlignment="1">
      <alignment horizontal="center" vertical="center"/>
    </xf>
    <xf numFmtId="175" fontId="0" fillId="0" borderId="49" xfId="0" applyNumberFormat="1" applyBorder="1" applyAlignment="1">
      <alignment horizontal="center" vertical="center"/>
    </xf>
    <xf numFmtId="175" fontId="0" fillId="0" borderId="53" xfId="0" applyNumberFormat="1" applyBorder="1" applyAlignment="1">
      <alignment horizontal="center" vertical="center"/>
    </xf>
    <xf numFmtId="175" fontId="0" fillId="0" borderId="51" xfId="0" applyNumberFormat="1" applyBorder="1" applyAlignment="1">
      <alignment horizontal="center" vertical="center"/>
    </xf>
    <xf numFmtId="175" fontId="0" fillId="0" borderId="55" xfId="0" applyNumberFormat="1" applyBorder="1" applyAlignment="1">
      <alignment horizontal="center" vertical="center"/>
    </xf>
    <xf numFmtId="175" fontId="0" fillId="0" borderId="74" xfId="0" applyNumberFormat="1" applyBorder="1" applyAlignment="1">
      <alignment horizontal="center" vertical="center"/>
    </xf>
    <xf numFmtId="1" fontId="0" fillId="0" borderId="78" xfId="0" applyNumberFormat="1" applyBorder="1" applyAlignment="1">
      <alignment horizontal="center"/>
    </xf>
    <xf numFmtId="1" fontId="0" fillId="0" borderId="79" xfId="0" applyNumberFormat="1" applyBorder="1" applyAlignment="1">
      <alignment horizontal="center"/>
    </xf>
    <xf numFmtId="1" fontId="0" fillId="0" borderId="80" xfId="0" applyNumberFormat="1" applyBorder="1" applyAlignment="1">
      <alignment horizontal="center"/>
    </xf>
    <xf numFmtId="1" fontId="0" fillId="0" borderId="81" xfId="0" applyNumberFormat="1" applyBorder="1" applyAlignment="1">
      <alignment horizontal="center"/>
    </xf>
    <xf numFmtId="1" fontId="0" fillId="0" borderId="82" xfId="0" applyNumberFormat="1" applyBorder="1" applyAlignment="1">
      <alignment horizontal="center"/>
    </xf>
    <xf numFmtId="1" fontId="0" fillId="0" borderId="85" xfId="0" applyNumberFormat="1" applyBorder="1" applyAlignment="1">
      <alignment horizontal="center"/>
    </xf>
    <xf numFmtId="1" fontId="0" fillId="6" borderId="34" xfId="0" applyNumberFormat="1" applyFill="1" applyBorder="1" applyAlignment="1">
      <alignment horizontal="center"/>
    </xf>
    <xf numFmtId="1" fontId="0" fillId="6" borderId="29" xfId="0" applyNumberFormat="1" applyFill="1" applyBorder="1" applyAlignment="1">
      <alignment horizontal="center"/>
    </xf>
    <xf numFmtId="1" fontId="0" fillId="6" borderId="30" xfId="0" applyNumberFormat="1" applyFill="1" applyBorder="1" applyAlignment="1">
      <alignment horizontal="center"/>
    </xf>
    <xf numFmtId="175" fontId="0" fillId="6" borderId="29" xfId="0" applyNumberFormat="1" applyFill="1" applyBorder="1" applyAlignment="1">
      <alignment horizontal="center"/>
    </xf>
    <xf numFmtId="175" fontId="0" fillId="6" borderId="30" xfId="0" applyNumberFormat="1" applyFill="1" applyBorder="1" applyAlignment="1">
      <alignment horizontal="center"/>
    </xf>
    <xf numFmtId="1" fontId="0" fillId="6" borderId="28" xfId="0" applyNumberFormat="1" applyFill="1" applyBorder="1" applyAlignment="1">
      <alignment horizontal="center"/>
    </xf>
    <xf numFmtId="175" fontId="0" fillId="6" borderId="28" xfId="0" applyNumberFormat="1" applyFill="1" applyBorder="1" applyAlignment="1">
      <alignment horizontal="center"/>
    </xf>
    <xf numFmtId="3" fontId="5" fillId="6" borderId="102" xfId="0" applyNumberFormat="1" applyFont="1" applyFill="1" applyBorder="1" applyAlignment="1">
      <alignment horizontal="center"/>
    </xf>
    <xf numFmtId="3" fontId="5" fillId="6" borderId="31" xfId="0" applyNumberFormat="1" applyFont="1" applyFill="1" applyBorder="1" applyAlignment="1">
      <alignment horizontal="center"/>
    </xf>
    <xf numFmtId="3" fontId="5" fillId="6" borderId="28" xfId="0" applyNumberFormat="1" applyFont="1" applyFill="1" applyBorder="1" applyAlignment="1">
      <alignment horizontal="center"/>
    </xf>
    <xf numFmtId="3" fontId="5" fillId="6" borderId="32" xfId="0" applyNumberFormat="1" applyFont="1" applyFill="1" applyBorder="1" applyAlignment="1">
      <alignment horizontal="center"/>
    </xf>
    <xf numFmtId="3" fontId="5" fillId="6" borderId="29" xfId="0" applyNumberFormat="1" applyFont="1" applyFill="1" applyBorder="1" applyAlignment="1">
      <alignment horizontal="center"/>
    </xf>
    <xf numFmtId="3" fontId="5" fillId="6" borderId="33" xfId="0" applyNumberFormat="1" applyFont="1" applyFill="1" applyBorder="1" applyAlignment="1">
      <alignment horizontal="center"/>
    </xf>
    <xf numFmtId="2" fontId="0" fillId="6" borderId="28" xfId="0" applyNumberFormat="1" applyFill="1" applyBorder="1" applyAlignment="1">
      <alignment horizontal="center"/>
    </xf>
    <xf numFmtId="2" fontId="0" fillId="6" borderId="29" xfId="0" applyNumberFormat="1" applyFill="1" applyBorder="1" applyAlignment="1">
      <alignment horizontal="center"/>
    </xf>
    <xf numFmtId="2" fontId="0" fillId="6" borderId="30" xfId="0" applyNumberFormat="1" applyFill="1" applyBorder="1" applyAlignment="1">
      <alignment horizontal="center"/>
    </xf>
    <xf numFmtId="0" fontId="0" fillId="5" borderId="0" xfId="0" applyFill="1" applyAlignment="1">
      <alignment wrapText="1"/>
    </xf>
    <xf numFmtId="0" fontId="7" fillId="3" borderId="39" xfId="0" applyFont="1" applyFill="1" applyBorder="1" applyAlignment="1">
      <alignment horizontal="center" wrapText="1"/>
    </xf>
    <xf numFmtId="0" fontId="11" fillId="5" borderId="0" xfId="0" applyFont="1" applyFill="1" applyAlignment="1">
      <alignment horizontal="center" wrapText="1"/>
    </xf>
    <xf numFmtId="0" fontId="11" fillId="3" borderId="39" xfId="0" applyFont="1" applyFill="1" applyBorder="1" applyAlignment="1">
      <alignment horizontal="center" wrapText="1"/>
    </xf>
    <xf numFmtId="0" fontId="11" fillId="3" borderId="100" xfId="0" applyFont="1" applyFill="1" applyBorder="1" applyAlignment="1">
      <alignment horizontal="center" wrapText="1"/>
    </xf>
    <xf numFmtId="0" fontId="11" fillId="3" borderId="38" xfId="0" applyFont="1" applyFill="1" applyBorder="1" applyAlignment="1">
      <alignment horizontal="center" wrapText="1"/>
    </xf>
    <xf numFmtId="0" fontId="6" fillId="5" borderId="0" xfId="0" applyFont="1" applyFill="1" applyAlignment="1">
      <alignment wrapText="1"/>
    </xf>
    <xf numFmtId="0" fontId="0" fillId="0" borderId="0" xfId="0" applyAlignment="1">
      <alignment wrapText="1"/>
    </xf>
    <xf numFmtId="3" fontId="5" fillId="6" borderId="86" xfId="0" applyNumberFormat="1" applyFont="1" applyFill="1" applyBorder="1" applyAlignment="1">
      <alignment horizontal="center"/>
    </xf>
    <xf numFmtId="3" fontId="5" fillId="6" borderId="87" xfId="0" applyNumberFormat="1" applyFont="1" applyFill="1" applyBorder="1" applyAlignment="1">
      <alignment horizontal="center"/>
    </xf>
    <xf numFmtId="3" fontId="5" fillId="6" borderId="88" xfId="0" applyNumberFormat="1" applyFont="1" applyFill="1" applyBorder="1" applyAlignment="1">
      <alignment horizontal="center"/>
    </xf>
    <xf numFmtId="0" fontId="7" fillId="3" borderId="38" xfId="0" applyFont="1" applyFill="1" applyBorder="1" applyAlignment="1">
      <alignment horizontal="center" wrapText="1"/>
    </xf>
    <xf numFmtId="1" fontId="0" fillId="0" borderId="104" xfId="0" applyNumberFormat="1" applyBorder="1" applyAlignment="1">
      <alignment horizontal="center"/>
    </xf>
    <xf numFmtId="0" fontId="17" fillId="3" borderId="37" xfId="0" applyFont="1" applyFill="1" applyBorder="1" applyAlignment="1">
      <alignment horizontal="center"/>
    </xf>
    <xf numFmtId="0" fontId="17" fillId="3" borderId="43" xfId="0" applyFont="1" applyFill="1" applyBorder="1" applyAlignment="1">
      <alignment horizontal="center" vertical="center"/>
    </xf>
    <xf numFmtId="0" fontId="17" fillId="3" borderId="39" xfId="0" applyFont="1" applyFill="1" applyBorder="1" applyAlignment="1">
      <alignment horizontal="center" vertical="center"/>
    </xf>
    <xf numFmtId="0" fontId="17" fillId="3" borderId="43" xfId="0" applyFont="1" applyFill="1" applyBorder="1" applyAlignment="1">
      <alignment horizontal="center"/>
    </xf>
    <xf numFmtId="0" fontId="17" fillId="3" borderId="41" xfId="0" applyFont="1" applyFill="1" applyBorder="1" applyAlignment="1">
      <alignment horizontal="center"/>
    </xf>
    <xf numFmtId="0" fontId="17" fillId="3" borderId="99" xfId="0" applyFont="1" applyFill="1" applyBorder="1" applyAlignment="1">
      <alignment horizontal="center"/>
    </xf>
    <xf numFmtId="0" fontId="17" fillId="3" borderId="27" xfId="0" applyFont="1" applyFill="1" applyBorder="1" applyAlignment="1">
      <alignment horizontal="center"/>
    </xf>
    <xf numFmtId="0" fontId="17" fillId="3" borderId="100" xfId="0" applyFont="1" applyFill="1" applyBorder="1" applyAlignment="1">
      <alignment horizontal="center"/>
    </xf>
    <xf numFmtId="0" fontId="17" fillId="3" borderId="41" xfId="0" applyFont="1" applyFill="1" applyBorder="1" applyAlignment="1">
      <alignment horizontal="center" vertical="center"/>
    </xf>
    <xf numFmtId="0" fontId="18" fillId="3" borderId="43" xfId="0" applyFont="1" applyFill="1" applyBorder="1" applyAlignment="1">
      <alignment horizontal="center"/>
    </xf>
    <xf numFmtId="0" fontId="18" fillId="3" borderId="39" xfId="0" applyFont="1" applyFill="1" applyBorder="1" applyAlignment="1">
      <alignment horizontal="center"/>
    </xf>
    <xf numFmtId="0" fontId="7" fillId="3" borderId="27" xfId="0" applyFont="1" applyFill="1" applyBorder="1"/>
    <xf numFmtId="0" fontId="18" fillId="3" borderId="41" xfId="0" applyFont="1" applyFill="1" applyBorder="1" applyAlignment="1">
      <alignment horizontal="center"/>
    </xf>
    <xf numFmtId="1" fontId="0" fillId="6" borderId="31" xfId="0" applyNumberFormat="1" applyFill="1" applyBorder="1" applyAlignment="1">
      <alignment horizontal="center"/>
    </xf>
    <xf numFmtId="1" fontId="0" fillId="6" borderId="33" xfId="0" applyNumberFormat="1" applyFill="1" applyBorder="1" applyAlignment="1">
      <alignment horizontal="center"/>
    </xf>
    <xf numFmtId="1" fontId="6" fillId="5" borderId="0" xfId="0" applyNumberFormat="1" applyFont="1" applyFill="1"/>
    <xf numFmtId="1" fontId="0" fillId="0" borderId="104" xfId="0" applyNumberFormat="1" applyBorder="1" applyAlignment="1" applyProtection="1">
      <alignment horizontal="center"/>
      <protection locked="0"/>
    </xf>
    <xf numFmtId="1" fontId="0" fillId="0" borderId="16" xfId="0" applyNumberFormat="1" applyBorder="1" applyAlignment="1" applyProtection="1">
      <alignment horizontal="center"/>
      <protection locked="0"/>
    </xf>
    <xf numFmtId="1" fontId="0" fillId="0" borderId="17" xfId="0" applyNumberFormat="1" applyBorder="1" applyAlignment="1" applyProtection="1">
      <alignment horizontal="center"/>
      <protection locked="0"/>
    </xf>
    <xf numFmtId="184" fontId="0" fillId="6" borderId="0" xfId="0" applyNumberFormat="1" applyFill="1" applyAlignment="1" applyProtection="1">
      <alignment horizontal="center"/>
      <protection locked="0"/>
    </xf>
    <xf numFmtId="0" fontId="0" fillId="6" borderId="0" xfId="0" applyFill="1" applyAlignment="1" applyProtection="1">
      <alignment horizontal="center"/>
      <protection locked="0"/>
    </xf>
    <xf numFmtId="4" fontId="0" fillId="0" borderId="0" xfId="0" applyNumberFormat="1"/>
    <xf numFmtId="3" fontId="5" fillId="6" borderId="86" xfId="0" applyNumberFormat="1" applyFont="1" applyFill="1" applyBorder="1" applyAlignment="1" applyProtection="1">
      <alignment horizontal="center"/>
      <protection hidden="1"/>
    </xf>
    <xf numFmtId="175" fontId="0" fillId="6" borderId="28" xfId="0" applyNumberFormat="1" applyFill="1" applyBorder="1" applyAlignment="1" applyProtection="1">
      <alignment horizontal="center"/>
      <protection hidden="1"/>
    </xf>
    <xf numFmtId="1" fontId="0" fillId="6" borderId="28" xfId="0" applyNumberFormat="1" applyFill="1" applyBorder="1" applyAlignment="1" applyProtection="1">
      <alignment horizontal="center"/>
      <protection hidden="1"/>
    </xf>
    <xf numFmtId="175" fontId="0" fillId="6" borderId="34" xfId="0" applyNumberFormat="1" applyFill="1" applyBorder="1" applyAlignment="1" applyProtection="1">
      <alignment horizontal="center"/>
      <protection hidden="1"/>
    </xf>
    <xf numFmtId="3" fontId="5" fillId="6" borderId="31" xfId="0" applyNumberFormat="1" applyFont="1" applyFill="1" applyBorder="1" applyAlignment="1" applyProtection="1">
      <alignment horizontal="center"/>
      <protection hidden="1"/>
    </xf>
    <xf numFmtId="1" fontId="0" fillId="6" borderId="31" xfId="0" applyNumberFormat="1" applyFill="1" applyBorder="1" applyAlignment="1" applyProtection="1">
      <alignment horizontal="center"/>
      <protection hidden="1"/>
    </xf>
    <xf numFmtId="175" fontId="0" fillId="0" borderId="47" xfId="0" applyNumberFormat="1" applyBorder="1" applyAlignment="1" applyProtection="1">
      <alignment horizontal="center" vertical="center"/>
      <protection hidden="1"/>
    </xf>
    <xf numFmtId="1" fontId="0" fillId="0" borderId="78" xfId="0" applyNumberFormat="1" applyBorder="1" applyAlignment="1" applyProtection="1">
      <alignment horizontal="center"/>
      <protection hidden="1"/>
    </xf>
    <xf numFmtId="175" fontId="0" fillId="0" borderId="49" xfId="0" applyNumberFormat="1" applyBorder="1" applyAlignment="1" applyProtection="1">
      <alignment horizontal="center" vertical="center"/>
      <protection hidden="1"/>
    </xf>
    <xf numFmtId="1" fontId="0" fillId="0" borderId="79" xfId="0" applyNumberFormat="1" applyBorder="1" applyAlignment="1" applyProtection="1">
      <alignment horizontal="center"/>
      <protection hidden="1"/>
    </xf>
    <xf numFmtId="3" fontId="5" fillId="6" borderId="87" xfId="0" applyNumberFormat="1" applyFont="1" applyFill="1" applyBorder="1" applyAlignment="1" applyProtection="1">
      <alignment horizontal="center"/>
      <protection hidden="1"/>
    </xf>
    <xf numFmtId="1" fontId="0" fillId="6" borderId="29" xfId="0" applyNumberFormat="1" applyFill="1" applyBorder="1" applyAlignment="1" applyProtection="1">
      <alignment horizontal="center"/>
      <protection hidden="1"/>
    </xf>
    <xf numFmtId="175" fontId="0" fillId="6" borderId="35" xfId="0" applyNumberFormat="1" applyFill="1" applyBorder="1" applyAlignment="1" applyProtection="1">
      <alignment horizontal="center"/>
      <protection hidden="1"/>
    </xf>
    <xf numFmtId="3" fontId="5" fillId="6" borderId="32" xfId="0" applyNumberFormat="1" applyFont="1" applyFill="1" applyBorder="1" applyAlignment="1" applyProtection="1">
      <alignment horizontal="center"/>
      <protection hidden="1"/>
    </xf>
    <xf numFmtId="175" fontId="0" fillId="0" borderId="53" xfId="0" applyNumberFormat="1" applyBorder="1" applyAlignment="1" applyProtection="1">
      <alignment horizontal="center" vertical="center"/>
      <protection hidden="1"/>
    </xf>
    <xf numFmtId="1" fontId="0" fillId="0" borderId="80" xfId="0" applyNumberFormat="1" applyBorder="1" applyAlignment="1" applyProtection="1">
      <alignment horizontal="center"/>
      <protection hidden="1"/>
    </xf>
    <xf numFmtId="175" fontId="0" fillId="6" borderId="30" xfId="0" applyNumberFormat="1" applyFill="1" applyBorder="1" applyAlignment="1" applyProtection="1">
      <alignment horizontal="center"/>
      <protection hidden="1"/>
    </xf>
    <xf numFmtId="1" fontId="0" fillId="6" borderId="33" xfId="0" applyNumberFormat="1" applyFill="1" applyBorder="1" applyAlignment="1" applyProtection="1">
      <alignment horizontal="center"/>
      <protection hidden="1"/>
    </xf>
    <xf numFmtId="175" fontId="0" fillId="0" borderId="51" xfId="0" applyNumberFormat="1" applyBorder="1" applyAlignment="1" applyProtection="1">
      <alignment horizontal="center" vertical="center"/>
      <protection hidden="1"/>
    </xf>
    <xf numFmtId="1" fontId="0" fillId="0" borderId="81" xfId="0" applyNumberFormat="1" applyBorder="1" applyAlignment="1" applyProtection="1">
      <alignment horizontal="center"/>
      <protection hidden="1"/>
    </xf>
    <xf numFmtId="175" fontId="0" fillId="0" borderId="55" xfId="0" applyNumberFormat="1" applyBorder="1" applyAlignment="1" applyProtection="1">
      <alignment horizontal="center" vertical="center"/>
      <protection hidden="1"/>
    </xf>
    <xf numFmtId="1" fontId="0" fillId="0" borderId="82" xfId="0" applyNumberFormat="1" applyBorder="1" applyAlignment="1" applyProtection="1">
      <alignment horizontal="center"/>
      <protection hidden="1"/>
    </xf>
    <xf numFmtId="175" fontId="0" fillId="6" borderId="105" xfId="0" applyNumberFormat="1" applyFill="1" applyBorder="1" applyAlignment="1" applyProtection="1">
      <alignment horizontal="center"/>
      <protection hidden="1"/>
    </xf>
    <xf numFmtId="0" fontId="17" fillId="3" borderId="37" xfId="0" applyFont="1" applyFill="1" applyBorder="1" applyAlignment="1" applyProtection="1">
      <alignment horizontal="center"/>
      <protection hidden="1"/>
    </xf>
    <xf numFmtId="0" fontId="17" fillId="3" borderId="43" xfId="0" applyFont="1" applyFill="1" applyBorder="1" applyAlignment="1" applyProtection="1">
      <alignment horizontal="center" vertical="center"/>
      <protection hidden="1"/>
    </xf>
    <xf numFmtId="0" fontId="17" fillId="3" borderId="39" xfId="0" applyFont="1" applyFill="1" applyBorder="1" applyAlignment="1" applyProtection="1">
      <alignment horizontal="center" vertical="center"/>
      <protection hidden="1"/>
    </xf>
    <xf numFmtId="0" fontId="17" fillId="3" borderId="43" xfId="0" applyFont="1" applyFill="1" applyBorder="1" applyAlignment="1" applyProtection="1">
      <alignment horizontal="center"/>
      <protection hidden="1"/>
    </xf>
    <xf numFmtId="0" fontId="17" fillId="3" borderId="41" xfId="0" applyFont="1" applyFill="1" applyBorder="1" applyAlignment="1" applyProtection="1">
      <alignment horizontal="center"/>
      <protection hidden="1"/>
    </xf>
    <xf numFmtId="0" fontId="17" fillId="3" borderId="99" xfId="0" applyFont="1" applyFill="1" applyBorder="1" applyAlignment="1" applyProtection="1">
      <alignment horizontal="center"/>
      <protection hidden="1"/>
    </xf>
    <xf numFmtId="0" fontId="18" fillId="3" borderId="43" xfId="0" applyFont="1" applyFill="1" applyBorder="1" applyAlignment="1" applyProtection="1">
      <alignment horizontal="center"/>
      <protection hidden="1"/>
    </xf>
    <xf numFmtId="0" fontId="18" fillId="3" borderId="39" xfId="0" applyFont="1" applyFill="1" applyBorder="1" applyAlignment="1" applyProtection="1">
      <alignment horizontal="center"/>
      <protection hidden="1"/>
    </xf>
    <xf numFmtId="0" fontId="18" fillId="3" borderId="100" xfId="0" applyFont="1" applyFill="1" applyBorder="1" applyAlignment="1" applyProtection="1">
      <alignment horizontal="center"/>
      <protection hidden="1"/>
    </xf>
    <xf numFmtId="0" fontId="11" fillId="5" borderId="0" xfId="0" applyFont="1" applyFill="1" applyAlignment="1" applyProtection="1">
      <alignment horizontal="center"/>
      <protection hidden="1"/>
    </xf>
    <xf numFmtId="1" fontId="7" fillId="3" borderId="25" xfId="0" applyNumberFormat="1" applyFont="1" applyFill="1" applyBorder="1" applyAlignment="1" applyProtection="1">
      <alignment horizontal="center"/>
      <protection locked="0" hidden="1"/>
    </xf>
    <xf numFmtId="199" fontId="6" fillId="3" borderId="0" xfId="0" applyNumberFormat="1" applyFont="1" applyFill="1" applyAlignment="1" applyProtection="1">
      <alignment horizontal="center"/>
      <protection hidden="1"/>
    </xf>
    <xf numFmtId="180" fontId="0" fillId="5" borderId="0" xfId="0" applyNumberFormat="1" applyFill="1" applyAlignment="1" applyProtection="1">
      <alignment horizontal="center"/>
      <protection hidden="1"/>
    </xf>
    <xf numFmtId="1" fontId="7" fillId="3" borderId="25" xfId="0" applyNumberFormat="1" applyFont="1" applyFill="1" applyBorder="1" applyAlignment="1" applyProtection="1">
      <alignment horizontal="center"/>
      <protection hidden="1"/>
    </xf>
    <xf numFmtId="2" fontId="0" fillId="6" borderId="28" xfId="0" applyNumberFormat="1" applyFill="1" applyBorder="1" applyAlignment="1" applyProtection="1">
      <alignment horizontal="center"/>
      <protection hidden="1"/>
    </xf>
    <xf numFmtId="1" fontId="0" fillId="6" borderId="34" xfId="0" applyNumberFormat="1" applyFill="1" applyBorder="1" applyAlignment="1" applyProtection="1">
      <alignment horizontal="center"/>
      <protection hidden="1"/>
    </xf>
    <xf numFmtId="1" fontId="7" fillId="3" borderId="27" xfId="0" applyNumberFormat="1" applyFont="1" applyFill="1" applyBorder="1" applyAlignment="1" applyProtection="1">
      <alignment horizontal="center"/>
      <protection locked="0" hidden="1"/>
    </xf>
    <xf numFmtId="1" fontId="7" fillId="3" borderId="27" xfId="0" applyNumberFormat="1" applyFont="1" applyFill="1" applyBorder="1" applyAlignment="1" applyProtection="1">
      <alignment horizontal="center"/>
      <protection hidden="1"/>
    </xf>
    <xf numFmtId="2" fontId="0" fillId="6" borderId="29" xfId="0" applyNumberFormat="1" applyFill="1" applyBorder="1" applyAlignment="1" applyProtection="1">
      <alignment horizontal="center"/>
      <protection hidden="1"/>
    </xf>
    <xf numFmtId="1" fontId="0" fillId="6" borderId="30" xfId="0" applyNumberFormat="1" applyFill="1" applyBorder="1" applyAlignment="1" applyProtection="1">
      <alignment horizontal="center"/>
      <protection hidden="1"/>
    </xf>
    <xf numFmtId="175" fontId="0" fillId="6" borderId="36" xfId="0" applyNumberFormat="1" applyFill="1" applyBorder="1" applyAlignment="1" applyProtection="1">
      <alignment horizontal="center"/>
      <protection hidden="1"/>
    </xf>
    <xf numFmtId="0" fontId="17" fillId="3" borderId="27" xfId="0" applyFont="1" applyFill="1" applyBorder="1" applyAlignment="1" applyProtection="1">
      <alignment horizontal="center"/>
      <protection hidden="1"/>
    </xf>
    <xf numFmtId="0" fontId="17" fillId="3" borderId="100" xfId="0" applyFont="1" applyFill="1" applyBorder="1" applyAlignment="1" applyProtection="1">
      <alignment horizontal="center"/>
      <protection hidden="1"/>
    </xf>
    <xf numFmtId="0" fontId="17" fillId="3" borderId="41" xfId="0" applyFont="1" applyFill="1" applyBorder="1" applyAlignment="1" applyProtection="1">
      <alignment horizontal="center" vertical="center"/>
      <protection hidden="1"/>
    </xf>
    <xf numFmtId="0" fontId="6" fillId="5" borderId="0" xfId="0" applyFont="1" applyFill="1" applyProtection="1">
      <protection hidden="1"/>
    </xf>
    <xf numFmtId="173" fontId="0" fillId="0" borderId="0" xfId="0" applyNumberFormat="1" applyAlignment="1">
      <alignment horizontal="center" vertical="center"/>
    </xf>
    <xf numFmtId="184" fontId="0" fillId="6" borderId="0" xfId="0" applyNumberFormat="1" applyFill="1" applyAlignment="1" applyProtection="1">
      <alignment horizontal="center"/>
      <protection hidden="1"/>
    </xf>
    <xf numFmtId="0" fontId="0" fillId="6" borderId="0" xfId="0" applyFill="1" applyAlignment="1" applyProtection="1">
      <alignment horizontal="center"/>
      <protection hidden="1"/>
    </xf>
    <xf numFmtId="0" fontId="7" fillId="3" borderId="19" xfId="0" applyFont="1" applyFill="1" applyBorder="1" applyAlignment="1">
      <alignment horizontal="center" vertical="center" wrapText="1"/>
    </xf>
    <xf numFmtId="0" fontId="0" fillId="6" borderId="0" xfId="0" applyFill="1" applyAlignment="1" applyProtection="1">
      <alignment horizontal="center"/>
      <protection locked="0"/>
    </xf>
    <xf numFmtId="0" fontId="0" fillId="6" borderId="103" xfId="0" applyFill="1" applyBorder="1" applyAlignment="1" applyProtection="1">
      <alignment horizontal="center"/>
      <protection locked="0"/>
    </xf>
    <xf numFmtId="0" fontId="9" fillId="5" borderId="0" xfId="0" applyFont="1" applyFill="1" applyAlignment="1">
      <alignment horizontal="center"/>
    </xf>
    <xf numFmtId="0" fontId="7" fillId="3" borderId="18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0" fontId="0" fillId="6" borderId="0" xfId="0" applyFill="1" applyAlignment="1" applyProtection="1">
      <alignment horizontal="center"/>
      <protection hidden="1"/>
    </xf>
    <xf numFmtId="0" fontId="0" fillId="6" borderId="103" xfId="0" applyFill="1" applyBorder="1" applyAlignment="1" applyProtection="1">
      <alignment horizontal="center"/>
      <protection hidden="1"/>
    </xf>
    <xf numFmtId="195" fontId="6" fillId="3" borderId="0" xfId="0" applyNumberFormat="1" applyFont="1" applyFill="1" applyAlignment="1">
      <alignment horizontal="center" vertical="center" wrapText="1"/>
    </xf>
    <xf numFmtId="0" fontId="7" fillId="3" borderId="40" xfId="0" applyFont="1" applyFill="1" applyBorder="1" applyAlignment="1">
      <alignment horizontal="center" vertical="center" wrapText="1"/>
    </xf>
    <xf numFmtId="0" fontId="7" fillId="3" borderId="42" xfId="0" applyFont="1" applyFill="1" applyBorder="1" applyAlignment="1">
      <alignment horizontal="center" vertical="center" wrapText="1"/>
    </xf>
    <xf numFmtId="0" fontId="7" fillId="3" borderId="39" xfId="0" applyFont="1" applyFill="1" applyBorder="1" applyAlignment="1">
      <alignment horizontal="center" vertical="center" wrapText="1"/>
    </xf>
    <xf numFmtId="0" fontId="7" fillId="3" borderId="42" xfId="0" applyFont="1" applyFill="1" applyBorder="1" applyAlignment="1">
      <alignment horizontal="center" vertical="center"/>
    </xf>
    <xf numFmtId="0" fontId="7" fillId="3" borderId="39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7" fillId="3" borderId="23" xfId="0" applyFont="1" applyFill="1" applyBorder="1" applyAlignment="1">
      <alignment horizontal="center" wrapText="1"/>
    </xf>
    <xf numFmtId="0" fontId="7" fillId="3" borderId="22" xfId="0" applyFont="1" applyFill="1" applyBorder="1" applyAlignment="1">
      <alignment horizontal="center" wrapText="1"/>
    </xf>
    <xf numFmtId="0" fontId="7" fillId="3" borderId="42" xfId="0" applyFont="1" applyFill="1" applyBorder="1" applyAlignment="1">
      <alignment horizontal="center"/>
    </xf>
    <xf numFmtId="0" fontId="7" fillId="3" borderId="27" xfId="0" applyFont="1" applyFill="1" applyBorder="1" applyAlignment="1">
      <alignment horizontal="center"/>
    </xf>
    <xf numFmtId="0" fontId="7" fillId="3" borderId="70" xfId="0" applyFont="1" applyFill="1" applyBorder="1" applyAlignment="1">
      <alignment horizontal="center"/>
    </xf>
    <xf numFmtId="1" fontId="7" fillId="3" borderId="37" xfId="0" applyNumberFormat="1" applyFont="1" applyFill="1" applyBorder="1" applyAlignment="1" applyProtection="1">
      <alignment horizontal="center" vertical="center"/>
      <protection hidden="1"/>
    </xf>
    <xf numFmtId="1" fontId="7" fillId="3" borderId="24" xfId="0" applyNumberFormat="1" applyFont="1" applyFill="1" applyBorder="1" applyAlignment="1" applyProtection="1">
      <alignment horizontal="center" vertical="center"/>
      <protection hidden="1"/>
    </xf>
    <xf numFmtId="1" fontId="7" fillId="3" borderId="26" xfId="0" applyNumberFormat="1" applyFont="1" applyFill="1" applyBorder="1" applyAlignment="1" applyProtection="1">
      <alignment horizontal="center" vertical="center"/>
      <protection hidden="1"/>
    </xf>
    <xf numFmtId="182" fontId="7" fillId="3" borderId="43" xfId="0" applyNumberFormat="1" applyFont="1" applyFill="1" applyBorder="1" applyAlignment="1" applyProtection="1">
      <alignment horizontal="center" vertical="center"/>
      <protection hidden="1"/>
    </xf>
    <xf numFmtId="182" fontId="7" fillId="3" borderId="98" xfId="0" applyNumberFormat="1" applyFont="1" applyFill="1" applyBorder="1" applyAlignment="1" applyProtection="1">
      <alignment horizontal="center" vertical="center"/>
      <protection hidden="1"/>
    </xf>
    <xf numFmtId="182" fontId="7" fillId="3" borderId="42" xfId="0" applyNumberFormat="1" applyFont="1" applyFill="1" applyBorder="1" applyAlignment="1" applyProtection="1">
      <alignment horizontal="center" vertical="center"/>
      <protection hidden="1"/>
    </xf>
    <xf numFmtId="1" fontId="7" fillId="3" borderId="37" xfId="0" applyNumberFormat="1" applyFont="1" applyFill="1" applyBorder="1" applyAlignment="1">
      <alignment horizontal="center" vertical="center"/>
    </xf>
    <xf numFmtId="1" fontId="7" fillId="3" borderId="24" xfId="0" applyNumberFormat="1" applyFont="1" applyFill="1" applyBorder="1" applyAlignment="1">
      <alignment horizontal="center" vertical="center"/>
    </xf>
    <xf numFmtId="182" fontId="7" fillId="3" borderId="43" xfId="0" applyNumberFormat="1" applyFont="1" applyFill="1" applyBorder="1" applyAlignment="1">
      <alignment horizontal="center" vertical="center"/>
    </xf>
    <xf numFmtId="182" fontId="7" fillId="3" borderId="98" xfId="0" applyNumberFormat="1" applyFont="1" applyFill="1" applyBorder="1" applyAlignment="1">
      <alignment horizontal="center" vertical="center"/>
    </xf>
    <xf numFmtId="1" fontId="7" fillId="3" borderId="26" xfId="0" applyNumberFormat="1" applyFont="1" applyFill="1" applyBorder="1" applyAlignment="1">
      <alignment horizontal="center" vertical="center"/>
    </xf>
    <xf numFmtId="182" fontId="7" fillId="3" borderId="42" xfId="0" applyNumberFormat="1" applyFont="1" applyFill="1" applyBorder="1" applyAlignment="1">
      <alignment horizontal="center" vertical="center"/>
    </xf>
    <xf numFmtId="49" fontId="0" fillId="6" borderId="0" xfId="0" applyNumberFormat="1" applyFill="1" applyAlignment="1">
      <alignment horizontal="center"/>
    </xf>
    <xf numFmtId="49" fontId="0" fillId="6" borderId="103" xfId="0" applyNumberFormat="1" applyFill="1" applyBorder="1" applyAlignment="1">
      <alignment horizontal="center"/>
    </xf>
    <xf numFmtId="0" fontId="9" fillId="5" borderId="0" xfId="0" applyFont="1" applyFill="1" applyAlignment="1">
      <alignment horizontal="center" vertical="center"/>
    </xf>
    <xf numFmtId="0" fontId="7" fillId="3" borderId="26" xfId="0" applyFont="1" applyFill="1" applyBorder="1" applyAlignment="1">
      <alignment horizontal="center" vertical="center"/>
    </xf>
    <xf numFmtId="0" fontId="7" fillId="3" borderId="68" xfId="0" applyFont="1" applyFill="1" applyBorder="1" applyAlignment="1">
      <alignment horizontal="center" vertical="center"/>
    </xf>
    <xf numFmtId="0" fontId="7" fillId="3" borderId="70" xfId="0" applyFont="1" applyFill="1" applyBorder="1" applyAlignment="1">
      <alignment horizontal="center" vertical="center"/>
    </xf>
    <xf numFmtId="0" fontId="7" fillId="3" borderId="56" xfId="0" applyFont="1" applyFill="1" applyBorder="1" applyAlignment="1">
      <alignment horizontal="center"/>
    </xf>
    <xf numFmtId="0" fontId="7" fillId="3" borderId="57" xfId="0" applyFont="1" applyFill="1" applyBorder="1" applyAlignment="1">
      <alignment horizontal="center"/>
    </xf>
    <xf numFmtId="0" fontId="7" fillId="3" borderId="60" xfId="0" applyFont="1" applyFill="1" applyBorder="1" applyAlignment="1">
      <alignment horizontal="center"/>
    </xf>
    <xf numFmtId="0" fontId="7" fillId="3" borderId="61" xfId="0" applyFont="1" applyFill="1" applyBorder="1" applyAlignment="1">
      <alignment horizontal="center"/>
    </xf>
    <xf numFmtId="0" fontId="7" fillId="3" borderId="64" xfId="0" applyFont="1" applyFill="1" applyBorder="1" applyAlignment="1">
      <alignment horizontal="center"/>
    </xf>
    <xf numFmtId="0" fontId="7" fillId="3" borderId="19" xfId="0" applyFont="1" applyFill="1" applyBorder="1" applyAlignment="1">
      <alignment horizontal="center"/>
    </xf>
    <xf numFmtId="197" fontId="0" fillId="0" borderId="67" xfId="0" applyNumberFormat="1" applyBorder="1" applyAlignment="1">
      <alignment horizontal="center" vertical="center"/>
    </xf>
    <xf numFmtId="197" fontId="0" fillId="0" borderId="65" xfId="0" applyNumberFormat="1" applyBorder="1" applyAlignment="1">
      <alignment horizontal="center" vertical="center"/>
    </xf>
    <xf numFmtId="197" fontId="0" fillId="0" borderId="66" xfId="0" applyNumberFormat="1" applyBorder="1" applyAlignment="1">
      <alignment horizontal="center" vertical="center"/>
    </xf>
    <xf numFmtId="197" fontId="0" fillId="0" borderId="75" xfId="0" applyNumberFormat="1" applyBorder="1" applyAlignment="1">
      <alignment horizontal="center" vertical="center"/>
    </xf>
    <xf numFmtId="168" fontId="0" fillId="0" borderId="65" xfId="0" applyNumberFormat="1" applyBorder="1" applyAlignment="1">
      <alignment horizontal="center" vertical="center"/>
    </xf>
    <xf numFmtId="168" fontId="0" fillId="0" borderId="66" xfId="0" applyNumberFormat="1" applyBorder="1" applyAlignment="1">
      <alignment horizontal="center" vertical="center"/>
    </xf>
    <xf numFmtId="168" fontId="0" fillId="0" borderId="67" xfId="0" applyNumberFormat="1" applyBorder="1" applyAlignment="1">
      <alignment horizontal="center" vertical="center"/>
    </xf>
    <xf numFmtId="168" fontId="0" fillId="0" borderId="75" xfId="0" applyNumberFormat="1" applyBorder="1" applyAlignment="1">
      <alignment horizontal="center" vertical="center"/>
    </xf>
    <xf numFmtId="182" fontId="7" fillId="3" borderId="37" xfId="0" applyNumberFormat="1" applyFont="1" applyFill="1" applyBorder="1" applyAlignment="1">
      <alignment horizontal="center" vertical="center"/>
    </xf>
    <xf numFmtId="182" fontId="7" fillId="3" borderId="24" xfId="0" applyNumberFormat="1" applyFont="1" applyFill="1" applyBorder="1" applyAlignment="1">
      <alignment horizontal="center" vertical="center"/>
    </xf>
    <xf numFmtId="182" fontId="7" fillId="3" borderId="76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/>
    </xf>
    <xf numFmtId="0" fontId="7" fillId="3" borderId="71" xfId="0" applyFont="1" applyFill="1" applyBorder="1" applyAlignment="1">
      <alignment horizontal="center"/>
    </xf>
    <xf numFmtId="0" fontId="7" fillId="3" borderId="57" xfId="0" applyFont="1" applyFill="1" applyBorder="1" applyAlignment="1">
      <alignment horizontal="center" wrapText="1"/>
    </xf>
    <xf numFmtId="183" fontId="7" fillId="3" borderId="61" xfId="0" applyNumberFormat="1" applyFont="1" applyFill="1" applyBorder="1" applyAlignment="1">
      <alignment horizontal="center"/>
    </xf>
    <xf numFmtId="182" fontId="7" fillId="3" borderId="26" xfId="0" applyNumberFormat="1" applyFont="1" applyFill="1" applyBorder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0" fillId="5" borderId="4" xfId="0" applyFill="1" applyBorder="1" applyAlignment="1">
      <alignment horizontal="center"/>
    </xf>
    <xf numFmtId="0" fontId="9" fillId="5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15" xfId="0" applyFont="1" applyBorder="1" applyAlignment="1">
      <alignment horizontal="center" wrapText="1"/>
    </xf>
  </cellXfs>
  <cellStyles count="1">
    <cellStyle name="Standard" xfId="0" builtinId="0"/>
  </cellStyles>
  <dxfs count="47"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fgColor theme="2"/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fgColor theme="2"/>
          <bgColor theme="5"/>
        </patternFill>
      </fill>
    </dxf>
    <dxf>
      <font>
        <color theme="0"/>
      </font>
      <fill>
        <patternFill>
          <fgColor theme="2"/>
          <bgColor theme="5"/>
        </patternFill>
      </fill>
    </dxf>
    <dxf>
      <font>
        <color theme="0"/>
      </font>
      <fill>
        <patternFill>
          <fgColor theme="2"/>
          <bgColor theme="5"/>
        </patternFill>
      </fill>
    </dxf>
    <dxf>
      <font>
        <color theme="0"/>
      </font>
      <fill>
        <patternFill>
          <fgColor theme="2"/>
          <bgColor theme="5"/>
        </patternFill>
      </fill>
    </dxf>
    <dxf>
      <font>
        <color theme="0"/>
      </font>
      <fill>
        <patternFill>
          <fgColor theme="2"/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fgColor theme="2"/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fgColor theme="2"/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fgColor theme="2"/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fgColor theme="2"/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fgColor theme="2"/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numFmt numFmtId="2" formatCode="0.00"/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fgColor theme="2"/>
          <bgColor theme="5"/>
        </patternFill>
      </fill>
    </dxf>
    <dxf>
      <numFmt numFmtId="175" formatCode="0.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580927384076991E-2"/>
          <c:y val="5.0925925925925923E-2"/>
          <c:w val="0.87753018372703417"/>
          <c:h val="0.841674686497521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Tabelle1!$C$1</c:f>
              <c:strCache>
                <c:ptCount val="1"/>
                <c:pt idx="0">
                  <c:v>1350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(Tabelle1!$G$1,Tabelle1!$G$8,Tabelle1!$G$15)</c:f>
              <c:numCache>
                <c:formatCode>General</c:formatCode>
                <c:ptCount val="3"/>
                <c:pt idx="0">
                  <c:v>780</c:v>
                </c:pt>
                <c:pt idx="1">
                  <c:v>1360</c:v>
                </c:pt>
                <c:pt idx="2">
                  <c:v>1940</c:v>
                </c:pt>
              </c:numCache>
            </c:numRef>
          </c:xVal>
          <c:yVal>
            <c:numRef>
              <c:f>(Tabelle1!$A$1,Tabelle1!$A$8,Tabelle1!$A$15)</c:f>
              <c:numCache>
                <c:formatCode>0.0</c:formatCode>
                <c:ptCount val="3"/>
                <c:pt idx="0">
                  <c:v>16.600000000000001</c:v>
                </c:pt>
                <c:pt idx="1">
                  <c:v>29.7</c:v>
                </c:pt>
                <c:pt idx="2">
                  <c:v>39.6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6AB-45C0-9CD6-947A5A3099BA}"/>
            </c:ext>
          </c:extLst>
        </c:ser>
        <c:ser>
          <c:idx val="1"/>
          <c:order val="1"/>
          <c:tx>
            <c:strRef>
              <c:f>Tabelle1!$C$2</c:f>
              <c:strCache>
                <c:ptCount val="1"/>
                <c:pt idx="0">
                  <c:v>1090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(Tabelle1!$G$2,Tabelle1!$G$9,Tabelle1!$G$16)</c:f>
              <c:numCache>
                <c:formatCode>General</c:formatCode>
                <c:ptCount val="3"/>
                <c:pt idx="0">
                  <c:v>780</c:v>
                </c:pt>
                <c:pt idx="1">
                  <c:v>1360</c:v>
                </c:pt>
                <c:pt idx="2">
                  <c:v>1940</c:v>
                </c:pt>
              </c:numCache>
            </c:numRef>
          </c:xVal>
          <c:yVal>
            <c:numRef>
              <c:f>(Tabelle1!$A$2,Tabelle1!$A$9,Tabelle1!$A$16)</c:f>
              <c:numCache>
                <c:formatCode>0.0</c:formatCode>
                <c:ptCount val="3"/>
                <c:pt idx="0">
                  <c:v>10.9</c:v>
                </c:pt>
                <c:pt idx="1">
                  <c:v>19.5</c:v>
                </c:pt>
                <c:pt idx="2">
                  <c:v>25.6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6AB-45C0-9CD6-947A5A3099BA}"/>
            </c:ext>
          </c:extLst>
        </c:ser>
        <c:ser>
          <c:idx val="2"/>
          <c:order val="2"/>
          <c:tx>
            <c:strRef>
              <c:f>Tabelle1!$C$3</c:f>
              <c:strCache>
                <c:ptCount val="1"/>
                <c:pt idx="0">
                  <c:v>830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(Tabelle1!$G$3,Tabelle1!$G$10,Tabelle1!$G$17)</c:f>
              <c:numCache>
                <c:formatCode>General</c:formatCode>
                <c:ptCount val="3"/>
                <c:pt idx="0">
                  <c:v>780</c:v>
                </c:pt>
                <c:pt idx="1">
                  <c:v>1360</c:v>
                </c:pt>
                <c:pt idx="2">
                  <c:v>1940</c:v>
                </c:pt>
              </c:numCache>
            </c:numRef>
          </c:xVal>
          <c:yVal>
            <c:numRef>
              <c:f>(Tabelle1!$A$3,Tabelle1!$A$10,Tabelle1!$A$17)</c:f>
              <c:numCache>
                <c:formatCode>0.0</c:formatCode>
                <c:ptCount val="3"/>
                <c:pt idx="0">
                  <c:v>7.7</c:v>
                </c:pt>
                <c:pt idx="1">
                  <c:v>12.7</c:v>
                </c:pt>
                <c:pt idx="2">
                  <c:v>16.2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6AB-45C0-9CD6-947A5A3099BA}"/>
            </c:ext>
          </c:extLst>
        </c:ser>
        <c:ser>
          <c:idx val="3"/>
          <c:order val="3"/>
          <c:tx>
            <c:strRef>
              <c:f>Tabelle1!$C$4</c:f>
              <c:strCache>
                <c:ptCount val="1"/>
                <c:pt idx="0">
                  <c:v>565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(Tabelle1!$G$4,Tabelle1!$G$11,Tabelle1!$G$18)</c:f>
              <c:numCache>
                <c:formatCode>General</c:formatCode>
                <c:ptCount val="3"/>
                <c:pt idx="0">
                  <c:v>780</c:v>
                </c:pt>
                <c:pt idx="1">
                  <c:v>1360</c:v>
                </c:pt>
                <c:pt idx="2">
                  <c:v>1940</c:v>
                </c:pt>
              </c:numCache>
            </c:numRef>
          </c:xVal>
          <c:yVal>
            <c:numRef>
              <c:f>(Tabelle1!$A$4,Tabelle1!$A$11,Tabelle1!$A$18)</c:f>
              <c:numCache>
                <c:formatCode>0.0</c:formatCode>
                <c:ptCount val="3"/>
                <c:pt idx="0">
                  <c:v>5.4</c:v>
                </c:pt>
                <c:pt idx="1">
                  <c:v>8.6999999999999993</c:v>
                </c:pt>
                <c:pt idx="2">
                  <c:v>10.8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6AB-45C0-9CD6-947A5A3099BA}"/>
            </c:ext>
          </c:extLst>
        </c:ser>
        <c:ser>
          <c:idx val="4"/>
          <c:order val="4"/>
          <c:tx>
            <c:strRef>
              <c:f>Tabelle1!$C$5</c:f>
              <c:strCache>
                <c:ptCount val="1"/>
                <c:pt idx="0">
                  <c:v>300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(Tabelle1!$G$5,Tabelle1!$G$12,Tabelle1!$G$19)</c:f>
              <c:numCache>
                <c:formatCode>General</c:formatCode>
                <c:ptCount val="3"/>
                <c:pt idx="0">
                  <c:v>780</c:v>
                </c:pt>
                <c:pt idx="1">
                  <c:v>1360</c:v>
                </c:pt>
                <c:pt idx="2">
                  <c:v>1940</c:v>
                </c:pt>
              </c:numCache>
            </c:numRef>
          </c:xVal>
          <c:yVal>
            <c:numRef>
              <c:f>(Tabelle1!$A$5,Tabelle1!$A$12,Tabelle1!$A$19)</c:f>
              <c:numCache>
                <c:formatCode>0.0</c:formatCode>
                <c:ptCount val="3"/>
                <c:pt idx="0">
                  <c:v>4.4000000000000004</c:v>
                </c:pt>
                <c:pt idx="1">
                  <c:v>6.8</c:v>
                </c:pt>
                <c:pt idx="2">
                  <c:v>8.1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6AB-45C0-9CD6-947A5A3099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2503624"/>
        <c:axId val="682498704"/>
      </c:scatterChart>
      <c:valAx>
        <c:axId val="682503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2498704"/>
        <c:crosses val="autoZero"/>
        <c:crossBetween val="midCat"/>
      </c:valAx>
      <c:valAx>
        <c:axId val="6824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25036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Terzbänder!$B$1</c:f>
              <c:strCache>
                <c:ptCount val="1"/>
                <c:pt idx="0">
                  <c:v>950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Terzbänder!$A$4:$A$28</c:f>
              <c:strCache>
                <c:ptCount val="25"/>
                <c:pt idx="0">
                  <c:v>50 Hz</c:v>
                </c:pt>
                <c:pt idx="1">
                  <c:v>63 Hz</c:v>
                </c:pt>
                <c:pt idx="2">
                  <c:v>80 Hz</c:v>
                </c:pt>
                <c:pt idx="3">
                  <c:v>100 Hz</c:v>
                </c:pt>
                <c:pt idx="4">
                  <c:v>125 Hz</c:v>
                </c:pt>
                <c:pt idx="5">
                  <c:v>160 Hz</c:v>
                </c:pt>
                <c:pt idx="6">
                  <c:v>200 Hz</c:v>
                </c:pt>
                <c:pt idx="7">
                  <c:v>250 Hz</c:v>
                </c:pt>
                <c:pt idx="8">
                  <c:v>315 Hz</c:v>
                </c:pt>
                <c:pt idx="9">
                  <c:v>400 Hz</c:v>
                </c:pt>
                <c:pt idx="10">
                  <c:v>500 Hz</c:v>
                </c:pt>
                <c:pt idx="11">
                  <c:v>630 Hz</c:v>
                </c:pt>
                <c:pt idx="12">
                  <c:v>800 Hz</c:v>
                </c:pt>
                <c:pt idx="13">
                  <c:v>1000 Hz</c:v>
                </c:pt>
                <c:pt idx="14">
                  <c:v>1250 Hz</c:v>
                </c:pt>
                <c:pt idx="15">
                  <c:v>1600 Hz</c:v>
                </c:pt>
                <c:pt idx="16">
                  <c:v>2000 Hz</c:v>
                </c:pt>
                <c:pt idx="17">
                  <c:v>2500 Hz</c:v>
                </c:pt>
                <c:pt idx="18">
                  <c:v>3150 Hz</c:v>
                </c:pt>
                <c:pt idx="19">
                  <c:v>4000 Hz</c:v>
                </c:pt>
                <c:pt idx="20">
                  <c:v>5000 Hz</c:v>
                </c:pt>
                <c:pt idx="21">
                  <c:v>6300 Hz</c:v>
                </c:pt>
                <c:pt idx="22">
                  <c:v>8000 Hz</c:v>
                </c:pt>
                <c:pt idx="23">
                  <c:v>10000 Hz</c:v>
                </c:pt>
                <c:pt idx="24">
                  <c:v>Gesamt</c:v>
                </c:pt>
              </c:strCache>
            </c:strRef>
          </c:cat>
          <c:val>
            <c:numRef>
              <c:f>Terzbänder!$B$4:$B$28</c:f>
              <c:numCache>
                <c:formatCode>0.0" dB(A)"</c:formatCode>
                <c:ptCount val="25"/>
                <c:pt idx="0">
                  <c:v>-14.473388823540411</c:v>
                </c:pt>
                <c:pt idx="1">
                  <c:v>-13.783608375295685</c:v>
                </c:pt>
                <c:pt idx="2">
                  <c:v>-12.539963662291996</c:v>
                </c:pt>
                <c:pt idx="3">
                  <c:v>-5.697986442127025</c:v>
                </c:pt>
                <c:pt idx="4">
                  <c:v>-1.0785240549331512</c:v>
                </c:pt>
                <c:pt idx="5">
                  <c:v>2.3206292218719398</c:v>
                </c:pt>
                <c:pt idx="6">
                  <c:v>7.0899501256609696</c:v>
                </c:pt>
                <c:pt idx="7">
                  <c:v>11.059544949203108</c:v>
                </c:pt>
                <c:pt idx="8">
                  <c:v>14.621996586224142</c:v>
                </c:pt>
                <c:pt idx="9">
                  <c:v>14.621888584201528</c:v>
                </c:pt>
                <c:pt idx="10">
                  <c:v>12.188980302134993</c:v>
                </c:pt>
                <c:pt idx="11">
                  <c:v>11.973803406295787</c:v>
                </c:pt>
                <c:pt idx="12">
                  <c:v>14.411222913293088</c:v>
                </c:pt>
                <c:pt idx="13">
                  <c:v>13.997035868343028</c:v>
                </c:pt>
                <c:pt idx="14">
                  <c:v>13.492470453815345</c:v>
                </c:pt>
                <c:pt idx="15">
                  <c:v>13.495818568960892</c:v>
                </c:pt>
                <c:pt idx="16">
                  <c:v>12.302602374016928</c:v>
                </c:pt>
                <c:pt idx="17">
                  <c:v>8.761129435463161</c:v>
                </c:pt>
                <c:pt idx="18">
                  <c:v>8.1809061763127602</c:v>
                </c:pt>
                <c:pt idx="19">
                  <c:v>8.8805787323047696</c:v>
                </c:pt>
                <c:pt idx="20">
                  <c:v>9.1420934587418117</c:v>
                </c:pt>
                <c:pt idx="21">
                  <c:v>9.1655801518281379</c:v>
                </c:pt>
                <c:pt idx="22">
                  <c:v>8.3387557646275479</c:v>
                </c:pt>
                <c:pt idx="23">
                  <c:v>6.9771336913722646</c:v>
                </c:pt>
                <c:pt idx="24">
                  <c:v>24.402183860606854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7F-488E-AB0A-04C2CDD9A5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827248"/>
        <c:axId val="628829872"/>
      </c:barChart>
      <c:catAx>
        <c:axId val="628827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8829872"/>
        <c:crosses val="autoZero"/>
        <c:auto val="1"/>
        <c:lblAlgn val="ctr"/>
        <c:lblOffset val="100"/>
        <c:noMultiLvlLbl val="0"/>
      </c:catAx>
      <c:valAx>
        <c:axId val="62882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\ &quot;dB(A)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8827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Terzbänder!$M$1</c:f>
              <c:strCache>
                <c:ptCount val="1"/>
                <c:pt idx="0">
                  <c:v>1200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Terzbänder!$A$4:$A$28</c:f>
              <c:strCache>
                <c:ptCount val="25"/>
                <c:pt idx="0">
                  <c:v>50 Hz</c:v>
                </c:pt>
                <c:pt idx="1">
                  <c:v>63 Hz</c:v>
                </c:pt>
                <c:pt idx="2">
                  <c:v>80 Hz</c:v>
                </c:pt>
                <c:pt idx="3">
                  <c:v>100 Hz</c:v>
                </c:pt>
                <c:pt idx="4">
                  <c:v>125 Hz</c:v>
                </c:pt>
                <c:pt idx="5">
                  <c:v>160 Hz</c:v>
                </c:pt>
                <c:pt idx="6">
                  <c:v>200 Hz</c:v>
                </c:pt>
                <c:pt idx="7">
                  <c:v>250 Hz</c:v>
                </c:pt>
                <c:pt idx="8">
                  <c:v>315 Hz</c:v>
                </c:pt>
                <c:pt idx="9">
                  <c:v>400 Hz</c:v>
                </c:pt>
                <c:pt idx="10">
                  <c:v>500 Hz</c:v>
                </c:pt>
                <c:pt idx="11">
                  <c:v>630 Hz</c:v>
                </c:pt>
                <c:pt idx="12">
                  <c:v>800 Hz</c:v>
                </c:pt>
                <c:pt idx="13">
                  <c:v>1000 Hz</c:v>
                </c:pt>
                <c:pt idx="14">
                  <c:v>1250 Hz</c:v>
                </c:pt>
                <c:pt idx="15">
                  <c:v>1600 Hz</c:v>
                </c:pt>
                <c:pt idx="16">
                  <c:v>2000 Hz</c:v>
                </c:pt>
                <c:pt idx="17">
                  <c:v>2500 Hz</c:v>
                </c:pt>
                <c:pt idx="18">
                  <c:v>3150 Hz</c:v>
                </c:pt>
                <c:pt idx="19">
                  <c:v>4000 Hz</c:v>
                </c:pt>
                <c:pt idx="20">
                  <c:v>5000 Hz</c:v>
                </c:pt>
                <c:pt idx="21">
                  <c:v>6300 Hz</c:v>
                </c:pt>
                <c:pt idx="22">
                  <c:v>8000 Hz</c:v>
                </c:pt>
                <c:pt idx="23">
                  <c:v>10000 Hz</c:v>
                </c:pt>
                <c:pt idx="24">
                  <c:v>Gesamt</c:v>
                </c:pt>
              </c:strCache>
            </c:strRef>
          </c:cat>
          <c:val>
            <c:numRef>
              <c:f>Terzbänder!$M$4:$M$28</c:f>
              <c:numCache>
                <c:formatCode>0.0" dB(A)"</c:formatCode>
                <c:ptCount val="25"/>
                <c:pt idx="0">
                  <c:v>-12.277819295172719</c:v>
                </c:pt>
                <c:pt idx="1">
                  <c:v>-11.588038846927972</c:v>
                </c:pt>
                <c:pt idx="2">
                  <c:v>-10.344394133924311</c:v>
                </c:pt>
                <c:pt idx="3">
                  <c:v>-3.5024169137593155</c:v>
                </c:pt>
                <c:pt idx="4">
                  <c:v>1.1170454734345761</c:v>
                </c:pt>
                <c:pt idx="5">
                  <c:v>4.5161987502396812</c:v>
                </c:pt>
                <c:pt idx="6">
                  <c:v>9.2855196540286897</c:v>
                </c:pt>
                <c:pt idx="7">
                  <c:v>13.255114477570814</c:v>
                </c:pt>
                <c:pt idx="8">
                  <c:v>16.817566114591827</c:v>
                </c:pt>
                <c:pt idx="9">
                  <c:v>16.817458112569248</c:v>
                </c:pt>
                <c:pt idx="10">
                  <c:v>14.384549830502763</c:v>
                </c:pt>
                <c:pt idx="11">
                  <c:v>14.169372934663556</c:v>
                </c:pt>
                <c:pt idx="12">
                  <c:v>16.606792441660758</c:v>
                </c:pt>
                <c:pt idx="13">
                  <c:v>16.192605396710739</c:v>
                </c:pt>
                <c:pt idx="14">
                  <c:v>15.688039982183064</c:v>
                </c:pt>
                <c:pt idx="15">
                  <c:v>15.691388097328609</c:v>
                </c:pt>
                <c:pt idx="16">
                  <c:v>14.498171902384637</c:v>
                </c:pt>
                <c:pt idx="17">
                  <c:v>10.956698963830828</c:v>
                </c:pt>
                <c:pt idx="18">
                  <c:v>10.376475704680416</c:v>
                </c:pt>
                <c:pt idx="19">
                  <c:v>11.076148260672483</c:v>
                </c:pt>
                <c:pt idx="20">
                  <c:v>11.337662987109532</c:v>
                </c:pt>
                <c:pt idx="21">
                  <c:v>11.361149680195851</c:v>
                </c:pt>
                <c:pt idx="22">
                  <c:v>10.534325292995261</c:v>
                </c:pt>
                <c:pt idx="23">
                  <c:v>9.1727032197399812</c:v>
                </c:pt>
                <c:pt idx="24">
                  <c:v>26.597753388974567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E2-4A37-AFD7-B79A4A90AA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827248"/>
        <c:axId val="628829872"/>
      </c:barChart>
      <c:catAx>
        <c:axId val="628827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8829872"/>
        <c:crosses val="autoZero"/>
        <c:auto val="1"/>
        <c:lblAlgn val="ctr"/>
        <c:lblOffset val="100"/>
        <c:noMultiLvlLbl val="0"/>
      </c:catAx>
      <c:valAx>
        <c:axId val="62882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\ &quot;dB(A)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8827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Terzbänder!$X$1</c:f>
              <c:strCache>
                <c:ptCount val="1"/>
                <c:pt idx="0">
                  <c:v>1700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Terzbänder!$A$4:$A$28</c:f>
              <c:strCache>
                <c:ptCount val="25"/>
                <c:pt idx="0">
                  <c:v>50 Hz</c:v>
                </c:pt>
                <c:pt idx="1">
                  <c:v>63 Hz</c:v>
                </c:pt>
                <c:pt idx="2">
                  <c:v>80 Hz</c:v>
                </c:pt>
                <c:pt idx="3">
                  <c:v>100 Hz</c:v>
                </c:pt>
                <c:pt idx="4">
                  <c:v>125 Hz</c:v>
                </c:pt>
                <c:pt idx="5">
                  <c:v>160 Hz</c:v>
                </c:pt>
                <c:pt idx="6">
                  <c:v>200 Hz</c:v>
                </c:pt>
                <c:pt idx="7">
                  <c:v>250 Hz</c:v>
                </c:pt>
                <c:pt idx="8">
                  <c:v>315 Hz</c:v>
                </c:pt>
                <c:pt idx="9">
                  <c:v>400 Hz</c:v>
                </c:pt>
                <c:pt idx="10">
                  <c:v>500 Hz</c:v>
                </c:pt>
                <c:pt idx="11">
                  <c:v>630 Hz</c:v>
                </c:pt>
                <c:pt idx="12">
                  <c:v>800 Hz</c:v>
                </c:pt>
                <c:pt idx="13">
                  <c:v>1000 Hz</c:v>
                </c:pt>
                <c:pt idx="14">
                  <c:v>1250 Hz</c:v>
                </c:pt>
                <c:pt idx="15">
                  <c:v>1600 Hz</c:v>
                </c:pt>
                <c:pt idx="16">
                  <c:v>2000 Hz</c:v>
                </c:pt>
                <c:pt idx="17">
                  <c:v>2500 Hz</c:v>
                </c:pt>
                <c:pt idx="18">
                  <c:v>3150 Hz</c:v>
                </c:pt>
                <c:pt idx="19">
                  <c:v>4000 Hz</c:v>
                </c:pt>
                <c:pt idx="20">
                  <c:v>5000 Hz</c:v>
                </c:pt>
                <c:pt idx="21">
                  <c:v>6300 Hz</c:v>
                </c:pt>
                <c:pt idx="22">
                  <c:v>8000 Hz</c:v>
                </c:pt>
                <c:pt idx="23">
                  <c:v>10000 Hz</c:v>
                </c:pt>
                <c:pt idx="24">
                  <c:v>Gesamt</c:v>
                </c:pt>
              </c:strCache>
            </c:strRef>
          </c:cat>
          <c:val>
            <c:numRef>
              <c:f>Terzbänder!$X$4:$X$28</c:f>
              <c:numCache>
                <c:formatCode>0.0" dB(A)"</c:formatCode>
                <c:ptCount val="25"/>
                <c:pt idx="0">
                  <c:v>-10.01816613706081</c:v>
                </c:pt>
                <c:pt idx="1">
                  <c:v>-9.3283856888160841</c:v>
                </c:pt>
                <c:pt idx="2">
                  <c:v>-8.0847409758122524</c:v>
                </c:pt>
                <c:pt idx="3">
                  <c:v>-1.2427637556474345</c:v>
                </c:pt>
                <c:pt idx="4">
                  <c:v>3.37669863154645</c:v>
                </c:pt>
                <c:pt idx="5">
                  <c:v>6.7758519083515125</c:v>
                </c:pt>
                <c:pt idx="6">
                  <c:v>11.545172812140567</c:v>
                </c:pt>
                <c:pt idx="7">
                  <c:v>15.514767635682738</c:v>
                </c:pt>
                <c:pt idx="8">
                  <c:v>19.077219272703744</c:v>
                </c:pt>
                <c:pt idx="9">
                  <c:v>19.077111270681115</c:v>
                </c:pt>
                <c:pt idx="10">
                  <c:v>16.64420298861458</c:v>
                </c:pt>
                <c:pt idx="11">
                  <c:v>16.429026092775416</c:v>
                </c:pt>
                <c:pt idx="12">
                  <c:v>18.866445599772689</c:v>
                </c:pt>
                <c:pt idx="13">
                  <c:v>18.452258554822627</c:v>
                </c:pt>
                <c:pt idx="14">
                  <c:v>17.947693140294938</c:v>
                </c:pt>
                <c:pt idx="15">
                  <c:v>17.951041255440494</c:v>
                </c:pt>
                <c:pt idx="16">
                  <c:v>16.757825060496518</c:v>
                </c:pt>
                <c:pt idx="17">
                  <c:v>13.216352121942762</c:v>
                </c:pt>
                <c:pt idx="18">
                  <c:v>12.636128862792333</c:v>
                </c:pt>
                <c:pt idx="19">
                  <c:v>13.335801418784442</c:v>
                </c:pt>
                <c:pt idx="20">
                  <c:v>13.59731614522142</c:v>
                </c:pt>
                <c:pt idx="21">
                  <c:v>13.620802838307775</c:v>
                </c:pt>
                <c:pt idx="22">
                  <c:v>12.793978451107142</c:v>
                </c:pt>
                <c:pt idx="23">
                  <c:v>11.432356377851862</c:v>
                </c:pt>
                <c:pt idx="24">
                  <c:v>28.857406547086455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06-48F2-94D3-11D22A4AC7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827248"/>
        <c:axId val="628829872"/>
      </c:barChart>
      <c:catAx>
        <c:axId val="628827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8829872"/>
        <c:crosses val="autoZero"/>
        <c:auto val="1"/>
        <c:lblAlgn val="ctr"/>
        <c:lblOffset val="100"/>
        <c:noMultiLvlLbl val="0"/>
      </c:catAx>
      <c:valAx>
        <c:axId val="62882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\ &quot;dB(A)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8827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Terzbänder!$AI$1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Terzbänder!$A$4:$A$28</c:f>
              <c:strCache>
                <c:ptCount val="25"/>
                <c:pt idx="0">
                  <c:v>50 Hz</c:v>
                </c:pt>
                <c:pt idx="1">
                  <c:v>63 Hz</c:v>
                </c:pt>
                <c:pt idx="2">
                  <c:v>80 Hz</c:v>
                </c:pt>
                <c:pt idx="3">
                  <c:v>100 Hz</c:v>
                </c:pt>
                <c:pt idx="4">
                  <c:v>125 Hz</c:v>
                </c:pt>
                <c:pt idx="5">
                  <c:v>160 Hz</c:v>
                </c:pt>
                <c:pt idx="6">
                  <c:v>200 Hz</c:v>
                </c:pt>
                <c:pt idx="7">
                  <c:v>250 Hz</c:v>
                </c:pt>
                <c:pt idx="8">
                  <c:v>315 Hz</c:v>
                </c:pt>
                <c:pt idx="9">
                  <c:v>400 Hz</c:v>
                </c:pt>
                <c:pt idx="10">
                  <c:v>500 Hz</c:v>
                </c:pt>
                <c:pt idx="11">
                  <c:v>630 Hz</c:v>
                </c:pt>
                <c:pt idx="12">
                  <c:v>800 Hz</c:v>
                </c:pt>
                <c:pt idx="13">
                  <c:v>1000 Hz</c:v>
                </c:pt>
                <c:pt idx="14">
                  <c:v>1250 Hz</c:v>
                </c:pt>
                <c:pt idx="15">
                  <c:v>1600 Hz</c:v>
                </c:pt>
                <c:pt idx="16">
                  <c:v>2000 Hz</c:v>
                </c:pt>
                <c:pt idx="17">
                  <c:v>2500 Hz</c:v>
                </c:pt>
                <c:pt idx="18">
                  <c:v>3150 Hz</c:v>
                </c:pt>
                <c:pt idx="19">
                  <c:v>4000 Hz</c:v>
                </c:pt>
                <c:pt idx="20">
                  <c:v>5000 Hz</c:v>
                </c:pt>
                <c:pt idx="21">
                  <c:v>6300 Hz</c:v>
                </c:pt>
                <c:pt idx="22">
                  <c:v>8000 Hz</c:v>
                </c:pt>
                <c:pt idx="23">
                  <c:v>10000 Hz</c:v>
                </c:pt>
                <c:pt idx="24">
                  <c:v>Gesamt</c:v>
                </c:pt>
              </c:strCache>
            </c:strRef>
          </c:cat>
          <c:val>
            <c:numRef>
              <c:f>Terzbänder!$AI$4:$AI$28</c:f>
              <c:numCache>
                <c:formatCode>0.0" dB(A)"</c:formatCode>
                <c:ptCount val="25"/>
                <c:pt idx="0">
                  <c:v>-9.0985118331508943</c:v>
                </c:pt>
                <c:pt idx="1">
                  <c:v>-8.4087313849061474</c:v>
                </c:pt>
                <c:pt idx="2">
                  <c:v>-7.1650866719024293</c:v>
                </c:pt>
                <c:pt idx="3">
                  <c:v>-0.32310945173749062</c:v>
                </c:pt>
                <c:pt idx="4">
                  <c:v>4.2963529354563867</c:v>
                </c:pt>
                <c:pt idx="5">
                  <c:v>7.6955062122615061</c:v>
                </c:pt>
                <c:pt idx="6">
                  <c:v>12.464827116050518</c:v>
                </c:pt>
                <c:pt idx="7">
                  <c:v>16.43442193959266</c:v>
                </c:pt>
                <c:pt idx="8">
                  <c:v>19.996873576613666</c:v>
                </c:pt>
                <c:pt idx="9">
                  <c:v>19.996765574591052</c:v>
                </c:pt>
                <c:pt idx="10">
                  <c:v>17.563857292524503</c:v>
                </c:pt>
                <c:pt idx="11">
                  <c:v>17.348680396685396</c:v>
                </c:pt>
                <c:pt idx="12">
                  <c:v>19.786099903682583</c:v>
                </c:pt>
                <c:pt idx="13">
                  <c:v>19.371912858732571</c:v>
                </c:pt>
                <c:pt idx="14">
                  <c:v>18.867347444204889</c:v>
                </c:pt>
                <c:pt idx="15">
                  <c:v>18.870695559350441</c:v>
                </c:pt>
                <c:pt idx="16">
                  <c:v>17.677479364406448</c:v>
                </c:pt>
                <c:pt idx="17">
                  <c:v>14.136006425852678</c:v>
                </c:pt>
                <c:pt idx="18">
                  <c:v>13.555783166702355</c:v>
                </c:pt>
                <c:pt idx="19">
                  <c:v>14.255455722694307</c:v>
                </c:pt>
                <c:pt idx="20">
                  <c:v>14.51697044913135</c:v>
                </c:pt>
                <c:pt idx="21">
                  <c:v>14.540457142217711</c:v>
                </c:pt>
                <c:pt idx="22">
                  <c:v>13.713632755017088</c:v>
                </c:pt>
                <c:pt idx="23">
                  <c:v>12.352010681761806</c:v>
                </c:pt>
                <c:pt idx="24">
                  <c:v>29.777060850996392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88-4A2A-9D39-589ADF572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827248"/>
        <c:axId val="628829872"/>
      </c:barChart>
      <c:catAx>
        <c:axId val="628827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8829872"/>
        <c:crosses val="autoZero"/>
        <c:auto val="1"/>
        <c:lblAlgn val="ctr"/>
        <c:lblOffset val="100"/>
        <c:noMultiLvlLbl val="0"/>
      </c:catAx>
      <c:valAx>
        <c:axId val="62882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\ &quot;dB(A)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8827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Terzbänder!$AT$1</c:f>
              <c:strCache>
                <c:ptCount val="1"/>
                <c:pt idx="0">
                  <c:v>2500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Terzbänder!$A$4:$A$28</c:f>
              <c:strCache>
                <c:ptCount val="25"/>
                <c:pt idx="0">
                  <c:v>50 Hz</c:v>
                </c:pt>
                <c:pt idx="1">
                  <c:v>63 Hz</c:v>
                </c:pt>
                <c:pt idx="2">
                  <c:v>80 Hz</c:v>
                </c:pt>
                <c:pt idx="3">
                  <c:v>100 Hz</c:v>
                </c:pt>
                <c:pt idx="4">
                  <c:v>125 Hz</c:v>
                </c:pt>
                <c:pt idx="5">
                  <c:v>160 Hz</c:v>
                </c:pt>
                <c:pt idx="6">
                  <c:v>200 Hz</c:v>
                </c:pt>
                <c:pt idx="7">
                  <c:v>250 Hz</c:v>
                </c:pt>
                <c:pt idx="8">
                  <c:v>315 Hz</c:v>
                </c:pt>
                <c:pt idx="9">
                  <c:v>400 Hz</c:v>
                </c:pt>
                <c:pt idx="10">
                  <c:v>500 Hz</c:v>
                </c:pt>
                <c:pt idx="11">
                  <c:v>630 Hz</c:v>
                </c:pt>
                <c:pt idx="12">
                  <c:v>800 Hz</c:v>
                </c:pt>
                <c:pt idx="13">
                  <c:v>1000 Hz</c:v>
                </c:pt>
                <c:pt idx="14">
                  <c:v>1250 Hz</c:v>
                </c:pt>
                <c:pt idx="15">
                  <c:v>1600 Hz</c:v>
                </c:pt>
                <c:pt idx="16">
                  <c:v>2000 Hz</c:v>
                </c:pt>
                <c:pt idx="17">
                  <c:v>2500 Hz</c:v>
                </c:pt>
                <c:pt idx="18">
                  <c:v>3150 Hz</c:v>
                </c:pt>
                <c:pt idx="19">
                  <c:v>4000 Hz</c:v>
                </c:pt>
                <c:pt idx="20">
                  <c:v>5000 Hz</c:v>
                </c:pt>
                <c:pt idx="21">
                  <c:v>6300 Hz</c:v>
                </c:pt>
                <c:pt idx="22">
                  <c:v>8000 Hz</c:v>
                </c:pt>
                <c:pt idx="23">
                  <c:v>10000 Hz</c:v>
                </c:pt>
                <c:pt idx="24">
                  <c:v>Gesamt</c:v>
                </c:pt>
              </c:strCache>
            </c:strRef>
          </c:cat>
          <c:val>
            <c:numRef>
              <c:f>Terzbänder!$AT$4:$AT$28</c:f>
              <c:numCache>
                <c:formatCode>0.0" dB(A)"</c:formatCode>
                <c:ptCount val="25"/>
                <c:pt idx="0">
                  <c:v>-7.9923577435718016</c:v>
                </c:pt>
                <c:pt idx="1">
                  <c:v>-7.3025772953270547</c:v>
                </c:pt>
                <c:pt idx="2">
                  <c:v>-6.0589325823232798</c:v>
                </c:pt>
                <c:pt idx="3">
                  <c:v>0.78304463784160205</c:v>
                </c:pt>
                <c:pt idx="4">
                  <c:v>5.4025070250354794</c:v>
                </c:pt>
                <c:pt idx="5">
                  <c:v>8.8016603018405988</c:v>
                </c:pt>
                <c:pt idx="6">
                  <c:v>13.570981205629611</c:v>
                </c:pt>
                <c:pt idx="7">
                  <c:v>17.540576029171724</c:v>
                </c:pt>
                <c:pt idx="8">
                  <c:v>21.103027666192759</c:v>
                </c:pt>
                <c:pt idx="9">
                  <c:v>21.102919664170145</c:v>
                </c:pt>
                <c:pt idx="10">
                  <c:v>18.670011382103596</c:v>
                </c:pt>
                <c:pt idx="11">
                  <c:v>18.454834486264488</c:v>
                </c:pt>
                <c:pt idx="12">
                  <c:v>20.892253993261676</c:v>
                </c:pt>
                <c:pt idx="13">
                  <c:v>20.478066948311664</c:v>
                </c:pt>
                <c:pt idx="14">
                  <c:v>19.973501533783981</c:v>
                </c:pt>
                <c:pt idx="15">
                  <c:v>19.976849648929534</c:v>
                </c:pt>
                <c:pt idx="16">
                  <c:v>18.783633453985541</c:v>
                </c:pt>
                <c:pt idx="17">
                  <c:v>15.24216051543177</c:v>
                </c:pt>
                <c:pt idx="18">
                  <c:v>14.661937256281391</c:v>
                </c:pt>
                <c:pt idx="19">
                  <c:v>15.361609812273414</c:v>
                </c:pt>
                <c:pt idx="20">
                  <c:v>15.623124538710428</c:v>
                </c:pt>
                <c:pt idx="21">
                  <c:v>15.646611231796804</c:v>
                </c:pt>
                <c:pt idx="22">
                  <c:v>14.81978684459618</c:v>
                </c:pt>
                <c:pt idx="23">
                  <c:v>13.458164771340899</c:v>
                </c:pt>
                <c:pt idx="24">
                  <c:v>30.883214940575485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27-48D5-BF81-99A4BCF819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827248"/>
        <c:axId val="628829872"/>
      </c:barChart>
      <c:catAx>
        <c:axId val="628827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8829872"/>
        <c:crosses val="autoZero"/>
        <c:auto val="1"/>
        <c:lblAlgn val="ctr"/>
        <c:lblOffset val="100"/>
        <c:noMultiLvlLbl val="0"/>
      </c:catAx>
      <c:valAx>
        <c:axId val="62882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\ &quot;dB(A)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8827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Terzbänder!$BE$1</c:f>
              <c:strCache>
                <c:ptCount val="1"/>
                <c:pt idx="0">
                  <c:v>3000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Terzbänder!$A$4:$A$28</c:f>
              <c:strCache>
                <c:ptCount val="25"/>
                <c:pt idx="0">
                  <c:v>50 Hz</c:v>
                </c:pt>
                <c:pt idx="1">
                  <c:v>63 Hz</c:v>
                </c:pt>
                <c:pt idx="2">
                  <c:v>80 Hz</c:v>
                </c:pt>
                <c:pt idx="3">
                  <c:v>100 Hz</c:v>
                </c:pt>
                <c:pt idx="4">
                  <c:v>125 Hz</c:v>
                </c:pt>
                <c:pt idx="5">
                  <c:v>160 Hz</c:v>
                </c:pt>
                <c:pt idx="6">
                  <c:v>200 Hz</c:v>
                </c:pt>
                <c:pt idx="7">
                  <c:v>250 Hz</c:v>
                </c:pt>
                <c:pt idx="8">
                  <c:v>315 Hz</c:v>
                </c:pt>
                <c:pt idx="9">
                  <c:v>400 Hz</c:v>
                </c:pt>
                <c:pt idx="10">
                  <c:v>500 Hz</c:v>
                </c:pt>
                <c:pt idx="11">
                  <c:v>630 Hz</c:v>
                </c:pt>
                <c:pt idx="12">
                  <c:v>800 Hz</c:v>
                </c:pt>
                <c:pt idx="13">
                  <c:v>1000 Hz</c:v>
                </c:pt>
                <c:pt idx="14">
                  <c:v>1250 Hz</c:v>
                </c:pt>
                <c:pt idx="15">
                  <c:v>1600 Hz</c:v>
                </c:pt>
                <c:pt idx="16">
                  <c:v>2000 Hz</c:v>
                </c:pt>
                <c:pt idx="17">
                  <c:v>2500 Hz</c:v>
                </c:pt>
                <c:pt idx="18">
                  <c:v>3150 Hz</c:v>
                </c:pt>
                <c:pt idx="19">
                  <c:v>4000 Hz</c:v>
                </c:pt>
                <c:pt idx="20">
                  <c:v>5000 Hz</c:v>
                </c:pt>
                <c:pt idx="21">
                  <c:v>6300 Hz</c:v>
                </c:pt>
                <c:pt idx="22">
                  <c:v>8000 Hz</c:v>
                </c:pt>
                <c:pt idx="23">
                  <c:v>10000 Hz</c:v>
                </c:pt>
                <c:pt idx="24">
                  <c:v>Gesamt</c:v>
                </c:pt>
              </c:strCache>
            </c:strRef>
          </c:cat>
          <c:val>
            <c:numRef>
              <c:f>Terzbänder!$BE$4:$BE$28</c:f>
              <c:numCache>
                <c:formatCode>0.0" dB(A)"</c:formatCode>
                <c:ptCount val="25"/>
                <c:pt idx="0" formatCode="0.0\ &quot;dB(A)&quot;">
                  <c:v>-6.8667836413073289</c:v>
                </c:pt>
                <c:pt idx="1">
                  <c:v>-6.1770031930626175</c:v>
                </c:pt>
                <c:pt idx="2">
                  <c:v>-4.9333584800588142</c:v>
                </c:pt>
                <c:pt idx="3">
                  <c:v>1.9086187401060464</c:v>
                </c:pt>
                <c:pt idx="4">
                  <c:v>6.5280811272999166</c:v>
                </c:pt>
                <c:pt idx="5">
                  <c:v>9.9272344041050502</c:v>
                </c:pt>
                <c:pt idx="6">
                  <c:v>14.696555307894059</c:v>
                </c:pt>
                <c:pt idx="7">
                  <c:v>18.666150131436183</c:v>
                </c:pt>
                <c:pt idx="8">
                  <c:v>22.22860176845721</c:v>
                </c:pt>
                <c:pt idx="9">
                  <c:v>22.22849376643461</c:v>
                </c:pt>
                <c:pt idx="10">
                  <c:v>19.795585484368075</c:v>
                </c:pt>
                <c:pt idx="11">
                  <c:v>19.580408588528883</c:v>
                </c:pt>
                <c:pt idx="12">
                  <c:v>22.017828095526156</c:v>
                </c:pt>
                <c:pt idx="13">
                  <c:v>21.603641050576115</c:v>
                </c:pt>
                <c:pt idx="14">
                  <c:v>21.099075636048426</c:v>
                </c:pt>
                <c:pt idx="15">
                  <c:v>21.102423751193975</c:v>
                </c:pt>
                <c:pt idx="16">
                  <c:v>19.90920755625001</c:v>
                </c:pt>
                <c:pt idx="17">
                  <c:v>16.367734617696225</c:v>
                </c:pt>
                <c:pt idx="18">
                  <c:v>15.787511358545913</c:v>
                </c:pt>
                <c:pt idx="19">
                  <c:v>16.487183914538008</c:v>
                </c:pt>
                <c:pt idx="20">
                  <c:v>16.748698640974887</c:v>
                </c:pt>
                <c:pt idx="21">
                  <c:v>16.772185334061213</c:v>
                </c:pt>
                <c:pt idx="22">
                  <c:v>15.945360946860632</c:v>
                </c:pt>
                <c:pt idx="23">
                  <c:v>14.583738873605347</c:v>
                </c:pt>
                <c:pt idx="24">
                  <c:v>32.008789042839943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32-47CC-8504-5FE778DE40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827248"/>
        <c:axId val="628829872"/>
      </c:barChart>
      <c:catAx>
        <c:axId val="628827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8829872"/>
        <c:crosses val="autoZero"/>
        <c:auto val="1"/>
        <c:lblAlgn val="ctr"/>
        <c:lblOffset val="100"/>
        <c:noMultiLvlLbl val="0"/>
      </c:catAx>
      <c:valAx>
        <c:axId val="62882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\ &quot;dB(A)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8827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144348293097026E-2"/>
          <c:y val="2.0257826887661142E-2"/>
          <c:w val="0.91691232902817843"/>
          <c:h val="0.8948924754571424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'VGL BG2212 M3G045'!$A$3</c:f>
              <c:strCache>
                <c:ptCount val="1"/>
                <c:pt idx="0">
                  <c:v>BG 2212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chemeClr val="accent1"/>
                </a:solidFill>
              </a:ln>
              <a:effectLst/>
            </c:spPr>
          </c:marker>
          <c:xVal>
            <c:numRef>
              <c:f>'VGL BG2212 M3G045'!$A$4:$A$8</c:f>
              <c:numCache>
                <c:formatCode>0.00" dB(A)"</c:formatCode>
                <c:ptCount val="5"/>
                <c:pt idx="0">
                  <c:v>25.779314386072588</c:v>
                </c:pt>
                <c:pt idx="1">
                  <c:v>30.432013698585429</c:v>
                </c:pt>
                <c:pt idx="2">
                  <c:v>37.331142484482356</c:v>
                </c:pt>
                <c:pt idx="3">
                  <c:v>44.413864309022266</c:v>
                </c:pt>
                <c:pt idx="4">
                  <c:v>49.243629090475963</c:v>
                </c:pt>
              </c:numCache>
            </c:numRef>
          </c:xVal>
          <c:yVal>
            <c:numRef>
              <c:f>'VGL BG2212 M3G045'!$B$4:$B$8</c:f>
              <c:numCache>
                <c:formatCode>#,#00" W"</c:formatCode>
                <c:ptCount val="5"/>
                <c:pt idx="0">
                  <c:v>636.74400333366395</c:v>
                </c:pt>
                <c:pt idx="1">
                  <c:v>1167.5681459862922</c:v>
                </c:pt>
                <c:pt idx="2">
                  <c:v>1702.0257697365553</c:v>
                </c:pt>
                <c:pt idx="3">
                  <c:v>2291.7345151839886</c:v>
                </c:pt>
                <c:pt idx="4">
                  <c:v>2836.2633569287182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A2B-4521-A14A-C2F8FD0DAC8D}"/>
            </c:ext>
          </c:extLst>
        </c:ser>
        <c:ser>
          <c:idx val="1"/>
          <c:order val="1"/>
          <c:tx>
            <c:strRef>
              <c:f>'VGL BG2212 M3G045'!$A$10</c:f>
              <c:strCache>
                <c:ptCount val="1"/>
                <c:pt idx="0">
                  <c:v>M3G045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38100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4"/>
            <c:dispRSqr val="1"/>
            <c:dispEq val="1"/>
            <c:trendlineLbl>
              <c:numFmt formatCode="0.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'VGL BG2212 M3G045'!$A$11:$A$15</c:f>
              <c:numCache>
                <c:formatCode>0.0" dB(A)"</c:formatCode>
                <c:ptCount val="5"/>
                <c:pt idx="0">
                  <c:v>24.542168546188638</c:v>
                </c:pt>
                <c:pt idx="1">
                  <c:v>27.972589973201991</c:v>
                </c:pt>
                <c:pt idx="2">
                  <c:v>37.200517756089937</c:v>
                </c:pt>
                <c:pt idx="3">
                  <c:v>46.325549281022717</c:v>
                </c:pt>
                <c:pt idx="4">
                  <c:v>52.735059962189212</c:v>
                </c:pt>
              </c:numCache>
            </c:numRef>
          </c:xVal>
          <c:yVal>
            <c:numRef>
              <c:f>'VGL BG2212 M3G045'!$B$11:$B$15</c:f>
              <c:numCache>
                <c:formatCode>#,#00" W"</c:formatCode>
                <c:ptCount val="5"/>
                <c:pt idx="0">
                  <c:v>497.23333465909883</c:v>
                </c:pt>
                <c:pt idx="1">
                  <c:v>944.04557429209569</c:v>
                </c:pt>
                <c:pt idx="2">
                  <c:v>1653.9423021801197</c:v>
                </c:pt>
                <c:pt idx="3">
                  <c:v>2505.4285892922198</c:v>
                </c:pt>
                <c:pt idx="4">
                  <c:v>3334.8430356941763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A2B-4521-A14A-C2F8FD0DA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8827248"/>
        <c:axId val="628829872"/>
      </c:scatterChart>
      <c:valAx>
        <c:axId val="628827248"/>
        <c:scaling>
          <c:orientation val="minMax"/>
          <c:min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 &quot;dB(A)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8829872"/>
        <c:crosses val="autoZero"/>
        <c:crossBetween val="midCat"/>
      </c:valAx>
      <c:valAx>
        <c:axId val="62882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00&quot; W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88272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0.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'Drehzahlen M3G055'!$A$1:$A$6</c:f>
              <c:numCache>
                <c:formatCode>General</c:formatCode>
                <c:ptCount val="6"/>
                <c:pt idx="0">
                  <c:v>2.7</c:v>
                </c:pt>
                <c:pt idx="1">
                  <c:v>3.7</c:v>
                </c:pt>
                <c:pt idx="2">
                  <c:v>4.7</c:v>
                </c:pt>
                <c:pt idx="3">
                  <c:v>5.9</c:v>
                </c:pt>
                <c:pt idx="4">
                  <c:v>6.8</c:v>
                </c:pt>
                <c:pt idx="5">
                  <c:v>10</c:v>
                </c:pt>
              </c:numCache>
            </c:numRef>
          </c:xVal>
          <c:yVal>
            <c:numRef>
              <c:f>'Drehzahlen M3G055'!$B$1:$B$6</c:f>
              <c:numCache>
                <c:formatCode>General</c:formatCode>
                <c:ptCount val="6"/>
                <c:pt idx="0">
                  <c:v>400</c:v>
                </c:pt>
                <c:pt idx="1">
                  <c:v>525</c:v>
                </c:pt>
                <c:pt idx="2">
                  <c:v>650</c:v>
                </c:pt>
                <c:pt idx="3">
                  <c:v>805</c:v>
                </c:pt>
                <c:pt idx="4">
                  <c:v>945</c:v>
                </c:pt>
                <c:pt idx="5">
                  <c:v>1350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36-4F91-90D9-B58C325D6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7748936"/>
        <c:axId val="447749592"/>
      </c:scatterChart>
      <c:valAx>
        <c:axId val="447748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47749592"/>
        <c:crosses val="autoZero"/>
        <c:crossBetween val="midCat"/>
      </c:valAx>
      <c:valAx>
        <c:axId val="447749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477489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723899</xdr:colOff>
      <xdr:row>0</xdr:row>
      <xdr:rowOff>66675</xdr:rowOff>
    </xdr:from>
    <xdr:to>
      <xdr:col>22</xdr:col>
      <xdr:colOff>714374</xdr:colOff>
      <xdr:row>26</xdr:row>
      <xdr:rowOff>19050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22690FA-FC2F-4BAE-906F-F8DACFB3F2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29</xdr:row>
      <xdr:rowOff>0</xdr:rowOff>
    </xdr:from>
    <xdr:to>
      <xdr:col>7</xdr:col>
      <xdr:colOff>285750</xdr:colOff>
      <xdr:row>46</xdr:row>
      <xdr:rowOff>185738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EE0F780-62D1-4CC7-A217-9473AF940E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29</xdr:row>
      <xdr:rowOff>0</xdr:rowOff>
    </xdr:from>
    <xdr:to>
      <xdr:col>18</xdr:col>
      <xdr:colOff>276225</xdr:colOff>
      <xdr:row>46</xdr:row>
      <xdr:rowOff>185738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74200917-9F59-4329-B1A2-CAC5C6C4A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29</xdr:row>
      <xdr:rowOff>0</xdr:rowOff>
    </xdr:from>
    <xdr:to>
      <xdr:col>29</xdr:col>
      <xdr:colOff>371475</xdr:colOff>
      <xdr:row>46</xdr:row>
      <xdr:rowOff>185738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945FA0EE-56F8-4CD8-A72B-BBA3FB1B0F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34</xdr:col>
      <xdr:colOff>0</xdr:colOff>
      <xdr:row>29</xdr:row>
      <xdr:rowOff>0</xdr:rowOff>
    </xdr:from>
    <xdr:to>
      <xdr:col>40</xdr:col>
      <xdr:colOff>466725</xdr:colOff>
      <xdr:row>46</xdr:row>
      <xdr:rowOff>185738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EA7E6C20-E50B-44E2-8799-3297A63A2C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0</xdr:colOff>
      <xdr:row>29</xdr:row>
      <xdr:rowOff>0</xdr:rowOff>
    </xdr:from>
    <xdr:to>
      <xdr:col>51</xdr:col>
      <xdr:colOff>447675</xdr:colOff>
      <xdr:row>46</xdr:row>
      <xdr:rowOff>185738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E9981FA4-1CDB-4E5E-84B0-BCAEEA84C2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56</xdr:col>
      <xdr:colOff>0</xdr:colOff>
      <xdr:row>29</xdr:row>
      <xdr:rowOff>0</xdr:rowOff>
    </xdr:from>
    <xdr:to>
      <xdr:col>62</xdr:col>
      <xdr:colOff>447675</xdr:colOff>
      <xdr:row>46</xdr:row>
      <xdr:rowOff>185738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D6664C20-EAC5-4D07-9701-858CD4E376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0</xdr:row>
      <xdr:rowOff>0</xdr:rowOff>
    </xdr:from>
    <xdr:to>
      <xdr:col>17</xdr:col>
      <xdr:colOff>752475</xdr:colOff>
      <xdr:row>36</xdr:row>
      <xdr:rowOff>38100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1E108D97-28A7-4F79-923D-B944C2E90C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0</xdr:row>
      <xdr:rowOff>38100</xdr:rowOff>
    </xdr:from>
    <xdr:to>
      <xdr:col>9</xdr:col>
      <xdr:colOff>228600</xdr:colOff>
      <xdr:row>14</xdr:row>
      <xdr:rowOff>114300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E138F1B-C8D9-4711-870B-0FFD343220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Kampmann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E2249"/>
      </a:accent1>
      <a:accent2>
        <a:srgbClr val="91B423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customProperty" Target="../customProperty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CX183"/>
  <sheetViews>
    <sheetView zoomScale="85" zoomScaleNormal="85" workbookViewId="0">
      <pane ySplit="1" topLeftCell="A2" activePane="bottomLeft" state="frozen"/>
      <selection pane="bottomLeft" activeCell="B79" sqref="B79"/>
    </sheetView>
  </sheetViews>
  <sheetFormatPr baseColWidth="10" defaultColWidth="9.109375" defaultRowHeight="14.4" x14ac:dyDescent="0.3"/>
  <cols>
    <col min="1" max="1" width="7.44140625" bestFit="1" customWidth="1"/>
    <col min="2" max="2" width="8.88671875" bestFit="1" customWidth="1"/>
    <col min="3" max="3" width="7.88671875" bestFit="1" customWidth="1"/>
    <col min="4" max="5" width="3.5546875" bestFit="1" customWidth="1"/>
    <col min="6" max="6" width="5" bestFit="1" customWidth="1"/>
    <col min="7" max="7" width="8.88671875" bestFit="1" customWidth="1"/>
    <col min="8" max="10" width="7.88671875" bestFit="1" customWidth="1"/>
    <col min="11" max="12" width="7.88671875" customWidth="1"/>
    <col min="13" max="13" width="8.5546875" bestFit="1" customWidth="1"/>
    <col min="14" max="14" width="7.44140625" bestFit="1" customWidth="1"/>
    <col min="15" max="15" width="9.5546875" style="17" bestFit="1" customWidth="1"/>
    <col min="16" max="16" width="12.44140625" bestFit="1" customWidth="1"/>
    <col min="17" max="17" width="15.88671875" style="11" bestFit="1" customWidth="1"/>
    <col min="18" max="18" width="12.88671875" bestFit="1" customWidth="1"/>
    <col min="19" max="19" width="11.5546875" bestFit="1" customWidth="1"/>
    <col min="22" max="22" width="6.109375" bestFit="1" customWidth="1"/>
    <col min="23" max="23" width="4.5546875" bestFit="1" customWidth="1"/>
    <col min="24" max="24" width="8.88671875" bestFit="1" customWidth="1"/>
    <col min="25" max="28" width="3.5546875" bestFit="1" customWidth="1"/>
    <col min="29" max="29" width="7.88671875" bestFit="1" customWidth="1"/>
    <col min="30" max="30" width="6.5546875" bestFit="1" customWidth="1"/>
    <col min="31" max="31" width="3.5546875" bestFit="1" customWidth="1"/>
    <col min="35" max="35" width="3.5546875" bestFit="1" customWidth="1"/>
    <col min="36" max="37" width="7.44140625" bestFit="1" customWidth="1"/>
    <col min="38" max="38" width="7.109375" bestFit="1" customWidth="1"/>
    <col min="39" max="39" width="6.88671875" bestFit="1" customWidth="1"/>
    <col min="40" max="40" width="7.109375" bestFit="1" customWidth="1"/>
    <col min="41" max="42" width="7.88671875" bestFit="1" customWidth="1"/>
    <col min="44" max="46" width="7.5546875" bestFit="1" customWidth="1"/>
    <col min="47" max="47" width="3.5546875" bestFit="1" customWidth="1"/>
    <col min="48" max="48" width="6.5546875" bestFit="1" customWidth="1"/>
    <col min="49" max="49" width="7.88671875" bestFit="1" customWidth="1"/>
    <col min="50" max="50" width="6.5546875" bestFit="1" customWidth="1"/>
    <col min="52" max="52" width="7.109375" bestFit="1" customWidth="1"/>
    <col min="53" max="53" width="3.5546875" bestFit="1" customWidth="1"/>
  </cols>
  <sheetData>
    <row r="1" spans="1:102" ht="10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>
        <f>AVERAGE(O4:O71)</f>
        <v>6.0968490826370592E-5</v>
      </c>
      <c r="P1" s="8">
        <f>AVERAGE(P4:P71)</f>
        <v>1.85527671733015E-3</v>
      </c>
      <c r="Q1" s="8">
        <v>1.13113074426393</v>
      </c>
      <c r="R1" s="8">
        <v>1.79430822650378E-3</v>
      </c>
      <c r="S1" s="8">
        <v>1.06589347673793</v>
      </c>
      <c r="T1" s="8">
        <v>0</v>
      </c>
      <c r="U1" s="18">
        <v>0</v>
      </c>
      <c r="V1" s="8" t="s">
        <v>14</v>
      </c>
      <c r="W1" s="8" t="s">
        <v>15</v>
      </c>
      <c r="X1" s="8" t="s">
        <v>16</v>
      </c>
      <c r="Y1" s="8" t="s">
        <v>6</v>
      </c>
      <c r="Z1" s="8" t="s">
        <v>17</v>
      </c>
      <c r="AA1" s="8" t="s">
        <v>7</v>
      </c>
      <c r="AB1" s="8" t="s">
        <v>8</v>
      </c>
      <c r="AC1" s="8" t="s">
        <v>18</v>
      </c>
      <c r="AD1" s="8" t="s">
        <v>19</v>
      </c>
      <c r="AE1" s="8" t="s">
        <v>20</v>
      </c>
      <c r="AF1" s="8"/>
      <c r="AG1" s="8"/>
      <c r="AH1" s="8"/>
      <c r="AI1" s="8" t="s">
        <v>21</v>
      </c>
      <c r="AJ1" s="8" t="s">
        <v>22</v>
      </c>
      <c r="AK1" s="8" t="s">
        <v>23</v>
      </c>
      <c r="AL1" s="8" t="s">
        <v>24</v>
      </c>
      <c r="AM1" s="8" t="s">
        <v>25</v>
      </c>
      <c r="AN1" s="8" t="s">
        <v>26</v>
      </c>
      <c r="AO1" s="8" t="s">
        <v>27</v>
      </c>
      <c r="AP1" s="8" t="s">
        <v>28</v>
      </c>
      <c r="AQ1" s="8"/>
      <c r="AR1" s="8" t="s">
        <v>29</v>
      </c>
      <c r="AS1" s="8" t="s">
        <v>11</v>
      </c>
      <c r="AT1" s="8"/>
      <c r="AU1" s="8" t="s">
        <v>30</v>
      </c>
      <c r="AV1" s="8" t="s">
        <v>31</v>
      </c>
      <c r="AW1" s="8" t="s">
        <v>32</v>
      </c>
      <c r="AX1" s="8" t="s">
        <v>33</v>
      </c>
      <c r="AY1" s="8"/>
      <c r="AZ1" s="8" t="s">
        <v>34</v>
      </c>
      <c r="BA1" s="8" t="s">
        <v>35</v>
      </c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 t="s">
        <v>36</v>
      </c>
      <c r="CE1" s="8"/>
      <c r="CF1" s="8"/>
      <c r="CG1" s="8" t="s">
        <v>37</v>
      </c>
      <c r="CH1" s="8" t="s">
        <v>38</v>
      </c>
      <c r="CI1" s="8" t="s">
        <v>39</v>
      </c>
      <c r="CJ1" s="8" t="s">
        <v>40</v>
      </c>
      <c r="CK1" s="8" t="s">
        <v>41</v>
      </c>
      <c r="CL1" s="8" t="s">
        <v>42</v>
      </c>
      <c r="CM1" s="8" t="s">
        <v>43</v>
      </c>
      <c r="CN1" s="8"/>
      <c r="CO1" s="8"/>
      <c r="CP1" s="8"/>
      <c r="CQ1" s="8"/>
      <c r="CR1" s="8" t="s">
        <v>44</v>
      </c>
      <c r="CS1" s="8" t="s">
        <v>45</v>
      </c>
      <c r="CT1" s="8" t="s">
        <v>46</v>
      </c>
      <c r="CU1" s="8"/>
      <c r="CV1" s="8"/>
      <c r="CW1" s="8"/>
      <c r="CX1" s="8"/>
    </row>
    <row r="2" spans="1:102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20">
        <f>MEDIAN(S4:S71)</f>
        <v>1.3215258356482518</v>
      </c>
      <c r="T2" s="20"/>
      <c r="U2">
        <v>-0.16551507457253101</v>
      </c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</row>
    <row r="3" spans="1:102" x14ac:dyDescent="0.3">
      <c r="A3" t="s">
        <v>47</v>
      </c>
      <c r="O3">
        <f>_xlfn.STDEV.P(O4:O71)</f>
        <v>2.14065294072257E-6</v>
      </c>
      <c r="P3">
        <f>_xlfn.STDEV.P(P4:P71)</f>
        <v>2.1406529407225814E-6</v>
      </c>
      <c r="S3" s="16">
        <f>AVERAGE((S4:S71))</f>
        <v>2.4760083240977941</v>
      </c>
      <c r="T3" s="16">
        <f>MAX(S4:S71)</f>
        <v>9.8196448857401641</v>
      </c>
      <c r="CH3" s="13"/>
      <c r="CI3" s="13"/>
    </row>
    <row r="4" spans="1:102" x14ac:dyDescent="0.3">
      <c r="A4" s="4">
        <v>6</v>
      </c>
      <c r="B4" s="6">
        <v>580</v>
      </c>
      <c r="C4" s="5">
        <v>18.5</v>
      </c>
      <c r="D4">
        <v>1</v>
      </c>
      <c r="E4">
        <v>2</v>
      </c>
      <c r="F4" s="11">
        <v>741</v>
      </c>
      <c r="G4" s="12">
        <v>164</v>
      </c>
      <c r="H4" s="5">
        <v>75</v>
      </c>
      <c r="I4" s="5">
        <v>65.099999999999994</v>
      </c>
      <c r="J4" s="5">
        <v>19.940000000000001</v>
      </c>
      <c r="K4" s="5">
        <f t="shared" ref="K4:K55" si="0">(H4+I4)/2</f>
        <v>70.05</v>
      </c>
      <c r="L4" s="5">
        <f t="shared" ref="L4:L55" si="1">H4-I4</f>
        <v>9.9000000000000057</v>
      </c>
      <c r="M4" s="5">
        <f t="shared" ref="M4:M55" si="2">K4-J4</f>
        <v>50.11</v>
      </c>
      <c r="N4" s="13">
        <v>2315.0500000000002</v>
      </c>
      <c r="O4" s="17">
        <f>N4/(M4^$Q$1*B4*F4^$S$1*L4^$U$2*K4^$T$1)</f>
        <v>6.0836994826464335E-5</v>
      </c>
      <c r="P4" s="17">
        <f t="shared" ref="P4:P35" si="3">O4+L4^$U$1*$R$1</f>
        <v>1.8551452213302444E-3</v>
      </c>
      <c r="Q4" s="11">
        <f>M4^$Q$1*B4*F4^$S$1*L4^$U$2*K4^$T$1*($P$1-L4^$U$1*$R$1)</f>
        <v>2320.0538601586086</v>
      </c>
      <c r="R4" s="15">
        <f t="shared" ref="R4:R55" si="4">ABS(Q4-N4)</f>
        <v>5.0038601586084042</v>
      </c>
      <c r="S4" s="16">
        <f t="shared" ref="S4:S55" si="5">ABS((1-N4/Q4)*100)</f>
        <v>0.21567862042074504</v>
      </c>
      <c r="V4" s="14">
        <v>0.1</v>
      </c>
      <c r="W4" s="9">
        <v>0.9</v>
      </c>
      <c r="X4" s="6">
        <v>600</v>
      </c>
      <c r="AC4" s="5"/>
      <c r="AE4">
        <v>3</v>
      </c>
      <c r="AJ4" s="13">
        <v>2311</v>
      </c>
      <c r="AK4" s="13">
        <v>2311</v>
      </c>
      <c r="AL4" s="10">
        <v>-1.749422258698563E-3</v>
      </c>
      <c r="AM4" s="1">
        <v>61.799999237060547</v>
      </c>
      <c r="AN4" s="2">
        <v>3</v>
      </c>
      <c r="AO4" s="3">
        <v>4.320000171661377</v>
      </c>
      <c r="AP4" s="3">
        <v>4.320000171661377</v>
      </c>
      <c r="AR4" s="1">
        <v>50.11</v>
      </c>
      <c r="AS4" s="1">
        <v>9.9000000000000057</v>
      </c>
      <c r="AT4" s="1">
        <v>45.16</v>
      </c>
      <c r="CG4">
        <v>165</v>
      </c>
      <c r="CH4" s="13">
        <v>2311</v>
      </c>
      <c r="CI4" s="13">
        <v>2311</v>
      </c>
      <c r="CJ4">
        <v>0</v>
      </c>
      <c r="CK4">
        <v>205</v>
      </c>
      <c r="CL4">
        <v>0.69999998807907104</v>
      </c>
      <c r="CM4" s="1">
        <v>61.799999237060547</v>
      </c>
      <c r="CR4">
        <v>4197.64111328125</v>
      </c>
      <c r="CS4">
        <v>4.1554324070602888E-7</v>
      </c>
      <c r="CT4">
        <v>0.6704787015914917</v>
      </c>
    </row>
    <row r="5" spans="1:102" x14ac:dyDescent="0.3">
      <c r="A5" s="4">
        <v>6</v>
      </c>
      <c r="B5" s="6">
        <v>580</v>
      </c>
      <c r="C5" s="5">
        <v>18.329999999999998</v>
      </c>
      <c r="D5">
        <v>1</v>
      </c>
      <c r="E5">
        <v>2</v>
      </c>
      <c r="F5" s="11">
        <v>740</v>
      </c>
      <c r="G5" s="12">
        <v>161.9</v>
      </c>
      <c r="H5" s="5">
        <v>84.99</v>
      </c>
      <c r="I5" s="5">
        <v>73.36</v>
      </c>
      <c r="J5" s="5">
        <v>19.989999999999998</v>
      </c>
      <c r="K5" s="5">
        <f t="shared" si="0"/>
        <v>79.174999999999997</v>
      </c>
      <c r="L5" s="5">
        <f t="shared" si="1"/>
        <v>11.629999999999995</v>
      </c>
      <c r="M5" s="5">
        <f t="shared" si="2"/>
        <v>59.185000000000002</v>
      </c>
      <c r="N5" s="13">
        <v>2723.09</v>
      </c>
      <c r="O5" s="17">
        <f t="shared" ref="O5:O68" si="6">N5/(M5^$Q$1*B5*F5^$S$1*L5^$U$2*K5^$T$1)</f>
        <v>6.0968435318557219E-5</v>
      </c>
      <c r="P5" s="17">
        <f t="shared" si="3"/>
        <v>1.8552766618223373E-3</v>
      </c>
      <c r="Q5" s="11">
        <f t="shared" ref="Q5:Q68" si="7">M5^$Q$1*B5*F5^$S$1*L5^$U$2*K5^$T$1*($P$1-L5^$U$1*$R$1)</f>
        <v>2723.0924791971311</v>
      </c>
      <c r="R5" s="15">
        <f t="shared" si="4"/>
        <v>2.479197130924149E-3</v>
      </c>
      <c r="S5" s="16">
        <f t="shared" si="5"/>
        <v>9.1043442329574731E-5</v>
      </c>
      <c r="V5" s="14">
        <v>0.1</v>
      </c>
      <c r="W5" s="9">
        <v>0.9</v>
      </c>
      <c r="X5" s="6">
        <v>600</v>
      </c>
      <c r="AC5" s="5"/>
      <c r="AE5">
        <v>3</v>
      </c>
      <c r="AJ5" s="13">
        <v>2713</v>
      </c>
      <c r="AK5" s="13">
        <v>2713</v>
      </c>
      <c r="AL5" s="10">
        <v>-3.7053494375874907E-3</v>
      </c>
      <c r="AM5" s="1">
        <v>69.699996948242188</v>
      </c>
      <c r="AN5" s="2">
        <v>2</v>
      </c>
      <c r="AO5" s="3">
        <v>4.3299999237060547</v>
      </c>
      <c r="AP5" s="3">
        <v>4.3299999237060547</v>
      </c>
      <c r="AR5" s="1">
        <v>59.185000000000002</v>
      </c>
      <c r="AS5" s="1">
        <v>11.629999999999995</v>
      </c>
      <c r="AT5" s="1">
        <v>53.370000000000005</v>
      </c>
      <c r="CG5">
        <v>160</v>
      </c>
      <c r="CH5" s="13">
        <v>2713</v>
      </c>
      <c r="CI5" s="13">
        <v>2713</v>
      </c>
      <c r="CJ5">
        <v>0</v>
      </c>
      <c r="CK5">
        <v>206</v>
      </c>
      <c r="CL5">
        <v>0.60000002384185791</v>
      </c>
      <c r="CM5" s="1">
        <v>69.699996948242188</v>
      </c>
      <c r="CR5">
        <v>4200.328125</v>
      </c>
      <c r="CS5">
        <v>3.6654725477092143E-7</v>
      </c>
      <c r="CT5">
        <v>0.6754460334777832</v>
      </c>
    </row>
    <row r="6" spans="1:102" x14ac:dyDescent="0.3">
      <c r="A6" s="4">
        <v>6</v>
      </c>
      <c r="B6" s="6">
        <v>580</v>
      </c>
      <c r="C6" s="5">
        <v>18.53</v>
      </c>
      <c r="D6">
        <v>1</v>
      </c>
      <c r="E6">
        <v>2</v>
      </c>
      <c r="F6" s="11">
        <v>741</v>
      </c>
      <c r="G6" s="12">
        <v>167.7</v>
      </c>
      <c r="H6" s="5">
        <v>54.99</v>
      </c>
      <c r="I6" s="5">
        <v>48.59</v>
      </c>
      <c r="J6" s="5">
        <v>19.88</v>
      </c>
      <c r="K6" s="5">
        <f t="shared" si="0"/>
        <v>51.790000000000006</v>
      </c>
      <c r="L6" s="5">
        <f t="shared" si="1"/>
        <v>6.3999999999999986</v>
      </c>
      <c r="M6" s="5">
        <f t="shared" si="2"/>
        <v>31.910000000000007</v>
      </c>
      <c r="N6" s="13">
        <v>1490.91</v>
      </c>
      <c r="O6" s="17">
        <f t="shared" si="6"/>
        <v>6.0729543979150374E-5</v>
      </c>
      <c r="P6" s="17">
        <f t="shared" si="3"/>
        <v>1.8550377704829304E-3</v>
      </c>
      <c r="Q6" s="11">
        <f t="shared" si="7"/>
        <v>1496.7761439004141</v>
      </c>
      <c r="R6" s="15">
        <f t="shared" si="4"/>
        <v>5.8661439004140448</v>
      </c>
      <c r="S6" s="16">
        <f t="shared" si="5"/>
        <v>0.39191858611051789</v>
      </c>
      <c r="V6" s="14">
        <v>0.1</v>
      </c>
      <c r="W6" s="9">
        <v>0.9</v>
      </c>
      <c r="X6" s="6">
        <v>600</v>
      </c>
      <c r="AC6" s="5"/>
      <c r="AE6">
        <v>3</v>
      </c>
      <c r="AJ6" s="13">
        <v>1483</v>
      </c>
      <c r="AK6" s="13">
        <v>1483</v>
      </c>
      <c r="AL6" s="10">
        <v>-5.3054845698264907E-3</v>
      </c>
      <c r="AM6" s="1">
        <v>46.099998474121094</v>
      </c>
      <c r="AN6" s="2">
        <v>7</v>
      </c>
      <c r="AO6" s="3">
        <v>4.3000001907348633</v>
      </c>
      <c r="AP6" s="3">
        <v>4.3000001907348633</v>
      </c>
      <c r="AR6" s="1">
        <v>31.910000000000007</v>
      </c>
      <c r="AS6" s="1">
        <v>6.3999999999999986</v>
      </c>
      <c r="AT6" s="1">
        <v>28.710000000000008</v>
      </c>
      <c r="CG6">
        <v>170</v>
      </c>
      <c r="CH6" s="13">
        <v>1483</v>
      </c>
      <c r="CI6" s="13">
        <v>1483</v>
      </c>
      <c r="CJ6">
        <v>0</v>
      </c>
      <c r="CK6">
        <v>201</v>
      </c>
      <c r="CL6">
        <v>0.69999998807907104</v>
      </c>
      <c r="CM6" s="1">
        <v>46.099998474121094</v>
      </c>
      <c r="CR6">
        <v>4195.09521484375</v>
      </c>
      <c r="CS6">
        <v>5.3961946377967251E-7</v>
      </c>
      <c r="CT6">
        <v>0.65519893169403076</v>
      </c>
    </row>
    <row r="7" spans="1:102" x14ac:dyDescent="0.3">
      <c r="A7" s="4">
        <v>5.97</v>
      </c>
      <c r="B7" s="6">
        <v>780</v>
      </c>
      <c r="C7" s="5">
        <v>17.98</v>
      </c>
      <c r="D7">
        <v>1</v>
      </c>
      <c r="E7">
        <v>2</v>
      </c>
      <c r="F7">
        <v>749</v>
      </c>
      <c r="G7" s="12">
        <v>223.6</v>
      </c>
      <c r="H7" s="5">
        <v>75</v>
      </c>
      <c r="I7" s="5">
        <v>64.94</v>
      </c>
      <c r="J7" s="5">
        <v>20.059999999999999</v>
      </c>
      <c r="K7" s="5">
        <f t="shared" si="0"/>
        <v>69.97</v>
      </c>
      <c r="L7" s="5">
        <f t="shared" si="1"/>
        <v>10.060000000000002</v>
      </c>
      <c r="M7" s="5">
        <f t="shared" si="2"/>
        <v>49.91</v>
      </c>
      <c r="N7" s="13">
        <v>3138.61</v>
      </c>
      <c r="O7" s="17">
        <f t="shared" si="6"/>
        <v>6.1069482904127731E-5</v>
      </c>
      <c r="P7" s="17">
        <f t="shared" si="3"/>
        <v>1.8553777094079077E-3</v>
      </c>
      <c r="Q7" s="11">
        <f t="shared" si="7"/>
        <v>3133.4196048943331</v>
      </c>
      <c r="R7" s="15">
        <f t="shared" si="4"/>
        <v>5.1903951056669939</v>
      </c>
      <c r="S7" s="16">
        <f t="shared" si="5"/>
        <v>0.16564634680780177</v>
      </c>
      <c r="V7" s="14">
        <v>0.1</v>
      </c>
      <c r="W7" s="9">
        <v>0.9</v>
      </c>
      <c r="X7" s="6">
        <v>800</v>
      </c>
      <c r="AC7" s="5"/>
      <c r="AE7">
        <v>3</v>
      </c>
      <c r="AJ7" s="13">
        <v>3156</v>
      </c>
      <c r="AK7" s="13">
        <v>3156</v>
      </c>
      <c r="AL7" s="10">
        <v>5.540669277164012E-3</v>
      </c>
      <c r="AM7" s="1">
        <v>62</v>
      </c>
      <c r="AN7" s="2">
        <v>3</v>
      </c>
      <c r="AO7" s="3">
        <v>4.3499999046325684</v>
      </c>
      <c r="AP7" s="3">
        <v>4.3499999046325684</v>
      </c>
      <c r="AR7" s="1">
        <v>49.91</v>
      </c>
      <c r="AS7" s="1">
        <v>10.060000000000002</v>
      </c>
      <c r="AT7" s="1">
        <v>44.879999999999995</v>
      </c>
      <c r="CG7">
        <v>225</v>
      </c>
      <c r="CH7" s="13">
        <v>3156</v>
      </c>
      <c r="CI7" s="13">
        <v>3156</v>
      </c>
      <c r="CJ7">
        <v>0</v>
      </c>
      <c r="CK7">
        <v>275</v>
      </c>
      <c r="CL7">
        <v>1.3999999761581421</v>
      </c>
      <c r="CM7" s="1">
        <v>62</v>
      </c>
      <c r="CR7">
        <v>4197.623046875</v>
      </c>
      <c r="CS7">
        <v>4.1600904410188377E-7</v>
      </c>
      <c r="CT7">
        <v>0.67042607069015503</v>
      </c>
    </row>
    <row r="8" spans="1:102" x14ac:dyDescent="0.3">
      <c r="A8" s="4">
        <v>5.97</v>
      </c>
      <c r="B8" s="6">
        <v>780</v>
      </c>
      <c r="C8" s="5">
        <v>17.649999999999999</v>
      </c>
      <c r="D8">
        <v>1</v>
      </c>
      <c r="E8">
        <v>2</v>
      </c>
      <c r="F8" s="11">
        <v>750</v>
      </c>
      <c r="G8" s="12">
        <v>221.4</v>
      </c>
      <c r="H8" s="5">
        <v>84.91</v>
      </c>
      <c r="I8" s="5">
        <v>73.08</v>
      </c>
      <c r="J8" s="5">
        <v>19.989999999999998</v>
      </c>
      <c r="K8" s="5">
        <f t="shared" si="0"/>
        <v>78.995000000000005</v>
      </c>
      <c r="L8" s="5">
        <f t="shared" si="1"/>
        <v>11.829999999999998</v>
      </c>
      <c r="M8" s="5">
        <f t="shared" si="2"/>
        <v>59.00500000000001</v>
      </c>
      <c r="N8" s="13">
        <v>3693.83</v>
      </c>
      <c r="O8" s="17">
        <f t="shared" si="6"/>
        <v>6.1004464980902842E-5</v>
      </c>
      <c r="P8" s="17">
        <f t="shared" si="3"/>
        <v>1.8553126914846829E-3</v>
      </c>
      <c r="Q8" s="11">
        <f t="shared" si="7"/>
        <v>3691.6517592551686</v>
      </c>
      <c r="R8" s="15">
        <f t="shared" si="4"/>
        <v>2.1782407448313279</v>
      </c>
      <c r="S8" s="16">
        <f t="shared" si="5"/>
        <v>5.9004502235904255E-2</v>
      </c>
      <c r="V8" s="14">
        <v>0.1</v>
      </c>
      <c r="W8" s="9">
        <v>0.9</v>
      </c>
      <c r="X8" s="6">
        <v>800</v>
      </c>
      <c r="AC8" s="5"/>
      <c r="AE8">
        <v>3</v>
      </c>
      <c r="AJ8" s="13">
        <v>3716</v>
      </c>
      <c r="AK8" s="13">
        <v>3716</v>
      </c>
      <c r="AL8" s="10">
        <v>6.0019004664535469E-3</v>
      </c>
      <c r="AM8" s="1">
        <v>69.800003051757813</v>
      </c>
      <c r="AN8" s="2">
        <v>2</v>
      </c>
      <c r="AO8" s="3">
        <v>4.3299999237060547</v>
      </c>
      <c r="AP8" s="3">
        <v>4.3299999237060547</v>
      </c>
      <c r="AR8" s="1">
        <v>59.00500000000001</v>
      </c>
      <c r="AS8" s="1">
        <v>11.829999999999998</v>
      </c>
      <c r="AT8" s="1">
        <v>53.090000000000011</v>
      </c>
      <c r="CG8">
        <v>220</v>
      </c>
      <c r="CH8" s="13">
        <v>3716</v>
      </c>
      <c r="CI8" s="13">
        <v>3716</v>
      </c>
      <c r="CJ8">
        <v>0</v>
      </c>
      <c r="CK8">
        <v>277</v>
      </c>
      <c r="CL8">
        <v>1.3999999761581421</v>
      </c>
      <c r="CM8" s="1">
        <v>69.800003051757813</v>
      </c>
      <c r="CR8">
        <v>4200.2626953125</v>
      </c>
      <c r="CS8">
        <v>3.6742395082001167E-7</v>
      </c>
      <c r="CT8">
        <v>0.67536944150924683</v>
      </c>
    </row>
    <row r="9" spans="1:102" x14ac:dyDescent="0.3">
      <c r="A9" s="4">
        <v>5.97</v>
      </c>
      <c r="B9" s="6">
        <v>780</v>
      </c>
      <c r="C9" s="5">
        <v>18.170000000000002</v>
      </c>
      <c r="D9">
        <v>1</v>
      </c>
      <c r="E9">
        <v>2</v>
      </c>
      <c r="F9">
        <v>748</v>
      </c>
      <c r="G9" s="12">
        <v>228.2</v>
      </c>
      <c r="H9" s="5">
        <v>55.02</v>
      </c>
      <c r="I9" s="5">
        <v>48.46</v>
      </c>
      <c r="J9" s="5">
        <v>19.84</v>
      </c>
      <c r="K9" s="5">
        <f t="shared" si="0"/>
        <v>51.74</v>
      </c>
      <c r="L9" s="5">
        <f t="shared" si="1"/>
        <v>6.5600000000000023</v>
      </c>
      <c r="M9" s="5">
        <f t="shared" si="2"/>
        <v>31.900000000000002</v>
      </c>
      <c r="N9" s="13">
        <v>2041.43</v>
      </c>
      <c r="O9" s="17">
        <f t="shared" si="6"/>
        <v>6.1488365603722906E-5</v>
      </c>
      <c r="P9" s="17">
        <f t="shared" si="3"/>
        <v>1.8557965921075028E-3</v>
      </c>
      <c r="Q9" s="11">
        <f t="shared" si="7"/>
        <v>2024.1700198995161</v>
      </c>
      <c r="R9" s="15">
        <f t="shared" si="4"/>
        <v>17.259980100483972</v>
      </c>
      <c r="S9" s="16">
        <f t="shared" si="5"/>
        <v>0.85269418728672886</v>
      </c>
      <c r="V9" s="14">
        <v>0.1</v>
      </c>
      <c r="W9" s="9">
        <v>0.9</v>
      </c>
      <c r="X9" s="6">
        <v>800</v>
      </c>
      <c r="AC9" s="5"/>
      <c r="AE9">
        <v>3</v>
      </c>
      <c r="AJ9" s="13">
        <v>2033</v>
      </c>
      <c r="AK9" s="13">
        <v>2033</v>
      </c>
      <c r="AL9" s="10">
        <v>-4.1294582718977013E-3</v>
      </c>
      <c r="AM9" s="1">
        <v>46.299999237060547</v>
      </c>
      <c r="AN9" s="2">
        <v>7</v>
      </c>
      <c r="AO9" s="3">
        <v>4.2899999618530273</v>
      </c>
      <c r="AP9" s="3">
        <v>4.2899999618530273</v>
      </c>
      <c r="AR9" s="1">
        <v>31.900000000000002</v>
      </c>
      <c r="AS9" s="1">
        <v>6.5600000000000023</v>
      </c>
      <c r="AT9" s="1">
        <v>28.62</v>
      </c>
      <c r="CG9">
        <v>230</v>
      </c>
      <c r="CH9" s="13">
        <v>2033</v>
      </c>
      <c r="CI9" s="13">
        <v>2033</v>
      </c>
      <c r="CJ9">
        <v>0</v>
      </c>
      <c r="CK9">
        <v>269</v>
      </c>
      <c r="CL9">
        <v>1.3999999761581421</v>
      </c>
      <c r="CM9" s="1">
        <v>46.299999237060547</v>
      </c>
      <c r="CR9">
        <v>4195.09130859375</v>
      </c>
      <c r="CS9">
        <v>5.4002561000743299E-7</v>
      </c>
      <c r="CT9">
        <v>0.65514922142028809</v>
      </c>
    </row>
    <row r="10" spans="1:102" x14ac:dyDescent="0.3">
      <c r="A10" s="4">
        <v>7</v>
      </c>
      <c r="B10" s="6">
        <v>580</v>
      </c>
      <c r="C10" s="5">
        <v>18.37</v>
      </c>
      <c r="D10">
        <v>1</v>
      </c>
      <c r="E10">
        <v>2</v>
      </c>
      <c r="F10">
        <v>826</v>
      </c>
      <c r="G10" s="12">
        <v>187.3</v>
      </c>
      <c r="H10" s="5">
        <v>75</v>
      </c>
      <c r="I10" s="5">
        <v>64.930000000000007</v>
      </c>
      <c r="J10" s="5">
        <v>20.12</v>
      </c>
      <c r="K10" s="5">
        <f t="shared" si="0"/>
        <v>69.965000000000003</v>
      </c>
      <c r="L10" s="5">
        <f t="shared" si="1"/>
        <v>10.069999999999993</v>
      </c>
      <c r="M10" s="5">
        <f t="shared" si="2"/>
        <v>49.844999999999999</v>
      </c>
      <c r="N10" s="13">
        <v>2591.9</v>
      </c>
      <c r="O10" s="17">
        <f t="shared" si="6"/>
        <v>6.1204697705280546E-5</v>
      </c>
      <c r="P10" s="17">
        <f t="shared" si="3"/>
        <v>1.8555129242090605E-3</v>
      </c>
      <c r="Q10" s="11">
        <f t="shared" si="7"/>
        <v>2581.8970977326562</v>
      </c>
      <c r="R10" s="15">
        <f t="shared" si="4"/>
        <v>10.00290226734387</v>
      </c>
      <c r="S10" s="16">
        <f t="shared" si="5"/>
        <v>0.38742451339861539</v>
      </c>
      <c r="V10" s="14">
        <v>0.1</v>
      </c>
      <c r="W10" s="9">
        <v>0.9</v>
      </c>
      <c r="X10" s="6">
        <v>600</v>
      </c>
      <c r="AC10" s="5"/>
      <c r="AE10">
        <v>3</v>
      </c>
      <c r="AJ10" s="13">
        <v>2564</v>
      </c>
      <c r="AK10" s="13">
        <v>2564</v>
      </c>
      <c r="AL10" s="10">
        <v>-1.0764304178402018E-2</v>
      </c>
      <c r="AM10" s="1">
        <v>60.799999237060547</v>
      </c>
      <c r="AN10" s="2">
        <v>3</v>
      </c>
      <c r="AO10" s="3">
        <v>4.369999885559082</v>
      </c>
      <c r="AP10" s="3">
        <v>4.369999885559082</v>
      </c>
      <c r="AR10" s="1">
        <v>49.844999999999999</v>
      </c>
      <c r="AS10" s="1">
        <v>10.069999999999993</v>
      </c>
      <c r="AT10" s="1">
        <v>44.81</v>
      </c>
      <c r="CG10">
        <v>185</v>
      </c>
      <c r="CH10" s="13">
        <v>2564</v>
      </c>
      <c r="CI10" s="13">
        <v>2564</v>
      </c>
      <c r="CJ10">
        <v>0</v>
      </c>
      <c r="CK10">
        <v>223</v>
      </c>
      <c r="CL10">
        <v>0.80000001192092896</v>
      </c>
      <c r="CM10" s="1">
        <v>60.799999237060547</v>
      </c>
      <c r="CR10">
        <v>4197.62158203125</v>
      </c>
      <c r="CS10">
        <v>4.1603820477575937E-7</v>
      </c>
      <c r="CT10">
        <v>0.67042279243469238</v>
      </c>
    </row>
    <row r="11" spans="1:102" x14ac:dyDescent="0.3">
      <c r="A11" s="4">
        <v>7</v>
      </c>
      <c r="B11" s="6">
        <v>580</v>
      </c>
      <c r="C11" s="5">
        <v>18.059999999999999</v>
      </c>
      <c r="D11">
        <v>1</v>
      </c>
      <c r="E11">
        <v>2</v>
      </c>
      <c r="F11">
        <v>826</v>
      </c>
      <c r="G11" s="12">
        <v>185.1</v>
      </c>
      <c r="H11" s="5">
        <v>84.99</v>
      </c>
      <c r="I11" s="5">
        <v>73.11</v>
      </c>
      <c r="J11" s="5">
        <v>20.059999999999999</v>
      </c>
      <c r="K11" s="5">
        <f t="shared" si="0"/>
        <v>79.05</v>
      </c>
      <c r="L11" s="5">
        <f t="shared" si="1"/>
        <v>11.879999999999995</v>
      </c>
      <c r="M11" s="5">
        <f t="shared" si="2"/>
        <v>58.989999999999995</v>
      </c>
      <c r="N11" s="13">
        <v>3063.61</v>
      </c>
      <c r="O11" s="17">
        <f t="shared" si="6"/>
        <v>6.1451419424127203E-5</v>
      </c>
      <c r="P11" s="17">
        <f t="shared" si="3"/>
        <v>1.8557596459279073E-3</v>
      </c>
      <c r="Q11" s="11">
        <f t="shared" si="7"/>
        <v>3039.5339917443789</v>
      </c>
      <c r="R11" s="15">
        <f t="shared" si="4"/>
        <v>24.076008255621218</v>
      </c>
      <c r="S11" s="16">
        <f t="shared" si="5"/>
        <v>0.7920953778116413</v>
      </c>
      <c r="V11" s="14">
        <v>0.1</v>
      </c>
      <c r="W11" s="9">
        <v>0.9</v>
      </c>
      <c r="X11" s="6">
        <v>600</v>
      </c>
      <c r="AC11" s="5"/>
      <c r="AE11">
        <v>3</v>
      </c>
      <c r="AJ11" s="13">
        <v>3021</v>
      </c>
      <c r="AK11" s="13">
        <v>3021</v>
      </c>
      <c r="AL11" s="10">
        <v>-1.3908428292112918E-2</v>
      </c>
      <c r="AM11" s="1">
        <v>68.5</v>
      </c>
      <c r="AN11" s="2">
        <v>2</v>
      </c>
      <c r="AO11" s="3">
        <v>4.3499999046325684</v>
      </c>
      <c r="AP11" s="3">
        <v>4.3499999046325684</v>
      </c>
      <c r="AR11" s="1">
        <v>58.989999999999995</v>
      </c>
      <c r="AS11" s="1">
        <v>11.879999999999995</v>
      </c>
      <c r="AT11" s="1">
        <v>53.05</v>
      </c>
      <c r="CG11">
        <v>185</v>
      </c>
      <c r="CH11" s="13">
        <v>3021</v>
      </c>
      <c r="CI11" s="13">
        <v>3021</v>
      </c>
      <c r="CJ11">
        <v>0</v>
      </c>
      <c r="CK11">
        <v>224</v>
      </c>
      <c r="CL11">
        <v>0.80000001192092896</v>
      </c>
      <c r="CM11" s="1">
        <v>68.5</v>
      </c>
      <c r="CR11">
        <v>4200.2822265625</v>
      </c>
      <c r="CS11">
        <v>3.6715562146127922E-7</v>
      </c>
      <c r="CT11">
        <v>0.67539292573928833</v>
      </c>
    </row>
    <row r="12" spans="1:102" x14ac:dyDescent="0.3">
      <c r="A12" s="4">
        <v>7</v>
      </c>
      <c r="B12" s="6">
        <v>580</v>
      </c>
      <c r="C12" s="5">
        <v>18.59</v>
      </c>
      <c r="D12">
        <v>1</v>
      </c>
      <c r="E12">
        <v>2</v>
      </c>
      <c r="F12">
        <v>826</v>
      </c>
      <c r="G12" s="12">
        <v>191.5</v>
      </c>
      <c r="H12" s="5">
        <v>55</v>
      </c>
      <c r="I12" s="5">
        <v>48.53</v>
      </c>
      <c r="J12" s="5">
        <v>19.920000000000002</v>
      </c>
      <c r="K12" s="5">
        <f t="shared" si="0"/>
        <v>51.765000000000001</v>
      </c>
      <c r="L12" s="5">
        <f t="shared" si="1"/>
        <v>6.4699999999999989</v>
      </c>
      <c r="M12" s="5">
        <f t="shared" si="2"/>
        <v>31.844999999999999</v>
      </c>
      <c r="N12" s="13">
        <v>1662.07</v>
      </c>
      <c r="O12" s="17">
        <f t="shared" si="6"/>
        <v>6.0549703933828016E-5</v>
      </c>
      <c r="P12" s="17">
        <f t="shared" si="3"/>
        <v>1.8548579304376079E-3</v>
      </c>
      <c r="Q12" s="11">
        <f t="shared" si="7"/>
        <v>1673.5655662086795</v>
      </c>
      <c r="R12" s="15">
        <f t="shared" si="4"/>
        <v>11.49556620867952</v>
      </c>
      <c r="S12" s="16">
        <f t="shared" si="5"/>
        <v>0.68689069856532337</v>
      </c>
      <c r="V12" s="14">
        <v>0.1</v>
      </c>
      <c r="W12" s="9">
        <v>0.9</v>
      </c>
      <c r="X12" s="6">
        <v>600</v>
      </c>
      <c r="AC12" s="5"/>
      <c r="AE12">
        <v>3</v>
      </c>
      <c r="AJ12" s="13">
        <v>1650</v>
      </c>
      <c r="AK12" s="13">
        <v>1650</v>
      </c>
      <c r="AL12" s="10">
        <v>-7.262028675085852E-3</v>
      </c>
      <c r="AM12" s="1">
        <v>45.5</v>
      </c>
      <c r="AN12" s="2">
        <v>7</v>
      </c>
      <c r="AO12" s="3">
        <v>4.320000171661377</v>
      </c>
      <c r="AP12" s="3">
        <v>4.320000171661377</v>
      </c>
      <c r="AR12" s="1">
        <v>31.844999999999999</v>
      </c>
      <c r="AS12" s="1">
        <v>6.4699999999999989</v>
      </c>
      <c r="AT12" s="1">
        <v>28.61</v>
      </c>
      <c r="CG12">
        <v>190</v>
      </c>
      <c r="CH12" s="13">
        <v>1650</v>
      </c>
      <c r="CI12" s="13">
        <v>1650</v>
      </c>
      <c r="CJ12">
        <v>0</v>
      </c>
      <c r="CK12">
        <v>221</v>
      </c>
      <c r="CL12">
        <v>0.80000001192092896</v>
      </c>
      <c r="CM12" s="1">
        <v>45.5</v>
      </c>
      <c r="CR12">
        <v>4195.09326171875</v>
      </c>
      <c r="CS12">
        <v>5.3982245162842446E-7</v>
      </c>
      <c r="CT12">
        <v>0.65517407655715942</v>
      </c>
    </row>
    <row r="13" spans="1:102" x14ac:dyDescent="0.3">
      <c r="A13" s="4">
        <v>7</v>
      </c>
      <c r="B13" s="6">
        <v>780</v>
      </c>
      <c r="C13" s="5">
        <v>17.739999999999998</v>
      </c>
      <c r="D13">
        <v>1</v>
      </c>
      <c r="E13">
        <v>2</v>
      </c>
      <c r="F13">
        <v>833</v>
      </c>
      <c r="G13" s="12">
        <v>254.4</v>
      </c>
      <c r="H13" s="5">
        <v>74.97</v>
      </c>
      <c r="I13" s="5">
        <v>64.89</v>
      </c>
      <c r="J13" s="5">
        <v>19.96</v>
      </c>
      <c r="K13" s="5">
        <f t="shared" si="0"/>
        <v>69.930000000000007</v>
      </c>
      <c r="L13" s="5">
        <f t="shared" si="1"/>
        <v>10.079999999999998</v>
      </c>
      <c r="M13" s="5">
        <f t="shared" si="2"/>
        <v>49.970000000000006</v>
      </c>
      <c r="N13" s="13">
        <v>3537.86</v>
      </c>
      <c r="O13" s="17">
        <f t="shared" si="6"/>
        <v>6.1400945607255938E-5</v>
      </c>
      <c r="P13" s="17">
        <f t="shared" si="3"/>
        <v>1.855709172111036E-3</v>
      </c>
      <c r="Q13" s="11">
        <f t="shared" si="7"/>
        <v>3512.9423956215373</v>
      </c>
      <c r="R13" s="15">
        <f t="shared" si="4"/>
        <v>24.917604378462784</v>
      </c>
      <c r="S13" s="16">
        <f t="shared" si="5"/>
        <v>0.7093086527555803</v>
      </c>
      <c r="V13" s="14">
        <v>0.1</v>
      </c>
      <c r="W13" s="9">
        <v>0.9</v>
      </c>
      <c r="X13" s="6">
        <v>800</v>
      </c>
      <c r="AC13" s="5"/>
      <c r="AE13">
        <v>3</v>
      </c>
      <c r="AJ13" s="13">
        <v>3520</v>
      </c>
      <c r="AK13" s="13">
        <v>3520</v>
      </c>
      <c r="AL13" s="10">
        <v>-5.0482495067639688E-3</v>
      </c>
      <c r="AM13" s="1">
        <v>61</v>
      </c>
      <c r="AN13" s="2">
        <v>3</v>
      </c>
      <c r="AO13" s="3">
        <v>4.3299999237060547</v>
      </c>
      <c r="AP13" s="3">
        <v>4.3299999237060547</v>
      </c>
      <c r="AR13" s="1">
        <v>49.970000000000006</v>
      </c>
      <c r="AS13" s="1">
        <v>10.079999999999998</v>
      </c>
      <c r="AT13" s="1">
        <v>44.930000000000007</v>
      </c>
      <c r="CG13">
        <v>255</v>
      </c>
      <c r="CH13" s="13">
        <v>3520</v>
      </c>
      <c r="CI13" s="13">
        <v>3520</v>
      </c>
      <c r="CJ13">
        <v>0</v>
      </c>
      <c r="CK13">
        <v>306</v>
      </c>
      <c r="CL13">
        <v>1.7000000476837158</v>
      </c>
      <c r="CM13" s="1">
        <v>61</v>
      </c>
      <c r="CR13">
        <v>4197.61376953125</v>
      </c>
      <c r="CS13">
        <v>4.1624218738434138E-7</v>
      </c>
      <c r="CT13">
        <v>0.67039972543716431</v>
      </c>
    </row>
    <row r="14" spans="1:102" x14ac:dyDescent="0.3">
      <c r="A14" s="4">
        <v>7</v>
      </c>
      <c r="B14" s="6">
        <v>780</v>
      </c>
      <c r="C14" s="5">
        <v>17.66</v>
      </c>
      <c r="D14">
        <v>1</v>
      </c>
      <c r="E14">
        <v>2</v>
      </c>
      <c r="F14">
        <v>834</v>
      </c>
      <c r="G14" s="12">
        <v>252</v>
      </c>
      <c r="H14" s="5">
        <v>84.98</v>
      </c>
      <c r="I14" s="5">
        <v>73.150000000000006</v>
      </c>
      <c r="J14" s="5">
        <v>20.49</v>
      </c>
      <c r="K14" s="5">
        <f t="shared" si="0"/>
        <v>79.064999999999998</v>
      </c>
      <c r="L14" s="5">
        <f t="shared" si="1"/>
        <v>11.829999999999998</v>
      </c>
      <c r="M14" s="5">
        <f t="shared" si="2"/>
        <v>58.575000000000003</v>
      </c>
      <c r="N14" s="13">
        <v>4132.83</v>
      </c>
      <c r="O14" s="17">
        <f t="shared" si="6"/>
        <v>6.1458580386410041E-5</v>
      </c>
      <c r="P14" s="17">
        <f t="shared" si="3"/>
        <v>1.8557668068901901E-3</v>
      </c>
      <c r="Q14" s="11">
        <f t="shared" si="7"/>
        <v>4099.8735466669496</v>
      </c>
      <c r="R14" s="15">
        <f t="shared" si="4"/>
        <v>32.956453333050376</v>
      </c>
      <c r="S14" s="16">
        <f t="shared" si="5"/>
        <v>0.80384072723029831</v>
      </c>
      <c r="V14" s="14">
        <v>0.1</v>
      </c>
      <c r="W14" s="9">
        <v>0.9</v>
      </c>
      <c r="X14" s="6">
        <v>800</v>
      </c>
      <c r="AC14" s="5"/>
      <c r="AE14">
        <v>3</v>
      </c>
      <c r="AJ14" s="13">
        <v>4105</v>
      </c>
      <c r="AK14" s="13">
        <v>4105</v>
      </c>
      <c r="AL14" s="10">
        <v>-6.7338845294870886E-3</v>
      </c>
      <c r="AM14" s="1">
        <v>68.900001525878906</v>
      </c>
      <c r="AN14" s="2">
        <v>2</v>
      </c>
      <c r="AO14" s="3">
        <v>4.4699997901916504</v>
      </c>
      <c r="AP14" s="3">
        <v>4.4699997901916504</v>
      </c>
      <c r="AR14" s="1">
        <v>58.575000000000003</v>
      </c>
      <c r="AS14" s="1">
        <v>11.829999999999998</v>
      </c>
      <c r="AT14" s="1">
        <v>52.660000000000004</v>
      </c>
      <c r="CG14">
        <v>250</v>
      </c>
      <c r="CH14" s="13">
        <v>4105</v>
      </c>
      <c r="CI14" s="13">
        <v>4105</v>
      </c>
      <c r="CJ14">
        <v>0</v>
      </c>
      <c r="CK14">
        <v>306</v>
      </c>
      <c r="CL14">
        <v>1.6000000238418579</v>
      </c>
      <c r="CM14" s="1">
        <v>68.900001525878906</v>
      </c>
      <c r="CR14">
        <v>4200.2880859375</v>
      </c>
      <c r="CS14">
        <v>3.6708252082462423E-7</v>
      </c>
      <c r="CT14">
        <v>0.67539936304092407</v>
      </c>
    </row>
    <row r="15" spans="1:102" x14ac:dyDescent="0.3">
      <c r="A15" s="4">
        <v>7</v>
      </c>
      <c r="B15" s="6">
        <v>780</v>
      </c>
      <c r="C15" s="5">
        <v>18.14</v>
      </c>
      <c r="D15">
        <v>1</v>
      </c>
      <c r="E15">
        <v>2</v>
      </c>
      <c r="F15">
        <v>833</v>
      </c>
      <c r="G15" s="12">
        <v>260.10000000000002</v>
      </c>
      <c r="H15" s="5">
        <v>54.96</v>
      </c>
      <c r="I15" s="5">
        <v>48.43</v>
      </c>
      <c r="J15" s="5">
        <v>19.670000000000002</v>
      </c>
      <c r="K15" s="5">
        <f t="shared" si="0"/>
        <v>51.695</v>
      </c>
      <c r="L15" s="5">
        <f t="shared" si="1"/>
        <v>6.5300000000000011</v>
      </c>
      <c r="M15" s="5">
        <f t="shared" si="2"/>
        <v>32.024999999999999</v>
      </c>
      <c r="N15" s="13">
        <v>2271.41</v>
      </c>
      <c r="O15" s="17">
        <f t="shared" si="6"/>
        <v>6.0684788441734688E-5</v>
      </c>
      <c r="P15" s="17">
        <f t="shared" si="3"/>
        <v>1.8549930149455148E-3</v>
      </c>
      <c r="Q15" s="11">
        <f t="shared" si="7"/>
        <v>2282.0288791298694</v>
      </c>
      <c r="R15" s="15">
        <f t="shared" si="4"/>
        <v>10.618879129869583</v>
      </c>
      <c r="S15" s="16">
        <f t="shared" si="5"/>
        <v>0.46532623784842908</v>
      </c>
      <c r="V15" s="14">
        <v>0.1</v>
      </c>
      <c r="W15" s="9">
        <v>0.9</v>
      </c>
      <c r="X15" s="6">
        <v>800</v>
      </c>
      <c r="AC15" s="5"/>
      <c r="AE15">
        <v>3</v>
      </c>
      <c r="AJ15" s="13">
        <v>2277</v>
      </c>
      <c r="AK15" s="13">
        <v>2277</v>
      </c>
      <c r="AL15" s="10">
        <v>2.4610264109077296E-3</v>
      </c>
      <c r="AM15" s="1">
        <v>45.599998474121094</v>
      </c>
      <c r="AN15" s="2">
        <v>7</v>
      </c>
      <c r="AO15" s="3">
        <v>4.25</v>
      </c>
      <c r="AP15" s="3">
        <v>4.25</v>
      </c>
      <c r="AR15" s="1">
        <v>32.024999999999999</v>
      </c>
      <c r="AS15" s="1">
        <v>6.5300000000000011</v>
      </c>
      <c r="AT15" s="1">
        <v>28.759999999999998</v>
      </c>
      <c r="CG15">
        <v>260</v>
      </c>
      <c r="CH15" s="13">
        <v>2277</v>
      </c>
      <c r="CI15" s="13">
        <v>2277</v>
      </c>
      <c r="CJ15">
        <v>0</v>
      </c>
      <c r="CK15">
        <v>303</v>
      </c>
      <c r="CL15">
        <v>1.7999999523162842</v>
      </c>
      <c r="CM15" s="1">
        <v>45.599998474121094</v>
      </c>
      <c r="CR15">
        <v>4195.087890625</v>
      </c>
      <c r="CS15">
        <v>5.4039151109464001E-7</v>
      </c>
      <c r="CT15">
        <v>0.65510445833206177</v>
      </c>
    </row>
    <row r="16" spans="1:102" x14ac:dyDescent="0.3">
      <c r="A16" s="4">
        <v>8.01</v>
      </c>
      <c r="B16" s="6">
        <v>580</v>
      </c>
      <c r="C16" s="5">
        <v>18.239999999999998</v>
      </c>
      <c r="D16">
        <v>1</v>
      </c>
      <c r="E16">
        <v>2</v>
      </c>
      <c r="F16">
        <v>911</v>
      </c>
      <c r="G16" s="12">
        <v>210.4</v>
      </c>
      <c r="H16" s="5">
        <v>75</v>
      </c>
      <c r="I16" s="5">
        <v>65.06</v>
      </c>
      <c r="J16" s="5">
        <v>19.940000000000001</v>
      </c>
      <c r="K16" s="5">
        <f t="shared" si="0"/>
        <v>70.03</v>
      </c>
      <c r="L16" s="5">
        <f t="shared" si="1"/>
        <v>9.9399999999999977</v>
      </c>
      <c r="M16" s="5">
        <f t="shared" si="2"/>
        <v>50.09</v>
      </c>
      <c r="N16" s="13">
        <v>2861.06</v>
      </c>
      <c r="O16" s="17">
        <f t="shared" si="6"/>
        <v>6.0396180167287186E-5</v>
      </c>
      <c r="P16" s="17">
        <f t="shared" si="3"/>
        <v>1.8547044066710673E-3</v>
      </c>
      <c r="Q16" s="11">
        <f t="shared" si="7"/>
        <v>2888.1712366666256</v>
      </c>
      <c r="R16" s="15">
        <f t="shared" si="4"/>
        <v>27.1112366666257</v>
      </c>
      <c r="S16" s="16">
        <f t="shared" si="5"/>
        <v>0.93869907443285827</v>
      </c>
      <c r="V16" s="14">
        <v>0.1</v>
      </c>
      <c r="W16" s="9">
        <v>0.9</v>
      </c>
      <c r="X16" s="6">
        <v>600</v>
      </c>
      <c r="AC16" s="5"/>
      <c r="AE16">
        <v>3</v>
      </c>
      <c r="AJ16" s="13">
        <v>2839</v>
      </c>
      <c r="AK16" s="13">
        <v>2839</v>
      </c>
      <c r="AL16" s="10">
        <v>-7.7104290018384924E-3</v>
      </c>
      <c r="AM16" s="1">
        <v>60</v>
      </c>
      <c r="AN16" s="2">
        <v>4</v>
      </c>
      <c r="AO16" s="3">
        <v>4.320000171661377</v>
      </c>
      <c r="AP16" s="3">
        <v>4.320000171661377</v>
      </c>
      <c r="AR16" s="1">
        <v>50.09</v>
      </c>
      <c r="AS16" s="1">
        <v>9.9399999999999977</v>
      </c>
      <c r="AT16" s="1">
        <v>45.120000000000005</v>
      </c>
      <c r="CG16">
        <v>210</v>
      </c>
      <c r="CH16" s="13">
        <v>2839</v>
      </c>
      <c r="CI16" s="13">
        <v>2839</v>
      </c>
      <c r="CJ16">
        <v>0</v>
      </c>
      <c r="CK16">
        <v>250</v>
      </c>
      <c r="CL16">
        <v>1</v>
      </c>
      <c r="CM16" s="1">
        <v>60</v>
      </c>
      <c r="CR16">
        <v>4197.63671875</v>
      </c>
      <c r="CS16">
        <v>4.1565965602785582E-7</v>
      </c>
      <c r="CT16">
        <v>0.67046552896499634</v>
      </c>
    </row>
    <row r="17" spans="1:98" x14ac:dyDescent="0.3">
      <c r="A17" s="4">
        <v>8.01</v>
      </c>
      <c r="B17" s="6">
        <v>580</v>
      </c>
      <c r="C17" s="5">
        <v>17.98</v>
      </c>
      <c r="D17">
        <v>1</v>
      </c>
      <c r="E17">
        <v>2</v>
      </c>
      <c r="F17">
        <v>911</v>
      </c>
      <c r="G17" s="12">
        <v>208</v>
      </c>
      <c r="H17" s="5">
        <v>84.97</v>
      </c>
      <c r="I17" s="5">
        <v>73.23</v>
      </c>
      <c r="J17" s="5">
        <v>19.96</v>
      </c>
      <c r="K17" s="5">
        <f t="shared" si="0"/>
        <v>79.099999999999994</v>
      </c>
      <c r="L17" s="5">
        <f t="shared" si="1"/>
        <v>11.739999999999995</v>
      </c>
      <c r="M17" s="5">
        <f t="shared" si="2"/>
        <v>59.139999999999993</v>
      </c>
      <c r="N17" s="13">
        <v>3374.08</v>
      </c>
      <c r="O17" s="17">
        <f t="shared" si="6"/>
        <v>6.067542235339653E-5</v>
      </c>
      <c r="P17" s="17">
        <f t="shared" si="3"/>
        <v>1.8549836488571765E-3</v>
      </c>
      <c r="Q17" s="11">
        <f t="shared" si="7"/>
        <v>3390.3771502288187</v>
      </c>
      <c r="R17" s="15">
        <f t="shared" si="4"/>
        <v>16.297150228818737</v>
      </c>
      <c r="S17" s="16">
        <f t="shared" si="5"/>
        <v>0.48068841626421888</v>
      </c>
      <c r="V17" s="14">
        <v>0.1</v>
      </c>
      <c r="W17" s="9">
        <v>0.9</v>
      </c>
      <c r="X17" s="6">
        <v>600</v>
      </c>
      <c r="AC17" s="5"/>
      <c r="AE17">
        <v>3</v>
      </c>
      <c r="AJ17" s="13">
        <v>3337</v>
      </c>
      <c r="AK17" s="13">
        <v>3337</v>
      </c>
      <c r="AL17" s="10">
        <v>-1.0989662367223096E-2</v>
      </c>
      <c r="AM17" s="1">
        <v>67.599998474121094</v>
      </c>
      <c r="AN17" s="2">
        <v>2</v>
      </c>
      <c r="AO17" s="3">
        <v>4.3299999237060547</v>
      </c>
      <c r="AP17" s="3">
        <v>4.3299999237060547</v>
      </c>
      <c r="AR17" s="1">
        <v>59.139999999999993</v>
      </c>
      <c r="AS17" s="1">
        <v>11.739999999999995</v>
      </c>
      <c r="AT17" s="1">
        <v>53.269999999999996</v>
      </c>
      <c r="CG17">
        <v>210</v>
      </c>
      <c r="CH17" s="13">
        <v>3337</v>
      </c>
      <c r="CI17" s="13">
        <v>3337</v>
      </c>
      <c r="CJ17">
        <v>0</v>
      </c>
      <c r="CK17">
        <v>250</v>
      </c>
      <c r="CL17">
        <v>0.89999997615814209</v>
      </c>
      <c r="CM17" s="1">
        <v>67.599998474121094</v>
      </c>
      <c r="CR17">
        <v>4200.30078125</v>
      </c>
      <c r="CS17">
        <v>3.6691201898975123E-7</v>
      </c>
      <c r="CT17">
        <v>0.67541426420211792</v>
      </c>
    </row>
    <row r="18" spans="1:98" x14ac:dyDescent="0.3">
      <c r="A18" s="4">
        <v>8.01</v>
      </c>
      <c r="B18" s="6">
        <v>580</v>
      </c>
      <c r="C18" s="5">
        <v>18.440000000000001</v>
      </c>
      <c r="D18">
        <v>1</v>
      </c>
      <c r="E18">
        <v>2</v>
      </c>
      <c r="F18">
        <v>911</v>
      </c>
      <c r="G18" s="12">
        <v>215.2</v>
      </c>
      <c r="H18" s="5">
        <v>54.99</v>
      </c>
      <c r="I18" s="5">
        <v>48.58</v>
      </c>
      <c r="J18" s="5">
        <v>19.850000000000001</v>
      </c>
      <c r="K18" s="5">
        <f t="shared" si="0"/>
        <v>51.784999999999997</v>
      </c>
      <c r="L18" s="5">
        <f t="shared" si="1"/>
        <v>6.4100000000000037</v>
      </c>
      <c r="M18" s="5">
        <f t="shared" si="2"/>
        <v>31.934999999999995</v>
      </c>
      <c r="N18" s="13">
        <v>1836.05</v>
      </c>
      <c r="O18" s="17">
        <f t="shared" si="6"/>
        <v>5.9972172791107141E-5</v>
      </c>
      <c r="P18" s="17">
        <f t="shared" si="3"/>
        <v>1.8542803992948871E-3</v>
      </c>
      <c r="Q18" s="11">
        <f t="shared" si="7"/>
        <v>1866.5523087126771</v>
      </c>
      <c r="R18" s="15">
        <f t="shared" si="4"/>
        <v>30.502308712677177</v>
      </c>
      <c r="S18" s="16">
        <f t="shared" si="5"/>
        <v>1.6341523658511381</v>
      </c>
      <c r="V18" s="14">
        <v>0.1</v>
      </c>
      <c r="W18" s="9">
        <v>0.9</v>
      </c>
      <c r="X18" s="6">
        <v>600</v>
      </c>
      <c r="AC18" s="5"/>
      <c r="AE18">
        <v>3</v>
      </c>
      <c r="AJ18" s="13">
        <v>1821</v>
      </c>
      <c r="AK18" s="13">
        <v>1821</v>
      </c>
      <c r="AL18" s="10">
        <v>-8.196944527654404E-3</v>
      </c>
      <c r="AM18" s="1">
        <v>45</v>
      </c>
      <c r="AN18" s="2">
        <v>7</v>
      </c>
      <c r="AO18" s="3">
        <v>4.3000001907348633</v>
      </c>
      <c r="AP18" s="3">
        <v>4.3000001907348633</v>
      </c>
      <c r="AR18" s="1">
        <v>31.934999999999995</v>
      </c>
      <c r="AS18" s="1">
        <v>6.4100000000000037</v>
      </c>
      <c r="AT18" s="1">
        <v>28.729999999999993</v>
      </c>
      <c r="CG18">
        <v>215</v>
      </c>
      <c r="CH18" s="13">
        <v>1821</v>
      </c>
      <c r="CI18" s="13">
        <v>1821</v>
      </c>
      <c r="CJ18">
        <v>0</v>
      </c>
      <c r="CK18">
        <v>247</v>
      </c>
      <c r="CL18">
        <v>1</v>
      </c>
      <c r="CM18" s="1">
        <v>45</v>
      </c>
      <c r="CR18">
        <v>4195.0947265625</v>
      </c>
      <c r="CS18">
        <v>5.3966004998073913E-7</v>
      </c>
      <c r="CT18">
        <v>0.6551939845085144</v>
      </c>
    </row>
    <row r="19" spans="1:98" x14ac:dyDescent="0.3">
      <c r="A19" s="4">
        <v>8</v>
      </c>
      <c r="B19" s="6">
        <v>780</v>
      </c>
      <c r="C19" s="5">
        <v>17.98</v>
      </c>
      <c r="D19">
        <v>1</v>
      </c>
      <c r="E19">
        <v>2</v>
      </c>
      <c r="F19">
        <v>917</v>
      </c>
      <c r="G19" s="12">
        <v>285.2</v>
      </c>
      <c r="H19" s="5">
        <v>75</v>
      </c>
      <c r="I19" s="5">
        <v>64.97</v>
      </c>
      <c r="J19" s="5">
        <v>19.989999999999998</v>
      </c>
      <c r="K19" s="5">
        <f t="shared" si="0"/>
        <v>69.984999999999999</v>
      </c>
      <c r="L19" s="5">
        <f t="shared" si="1"/>
        <v>10.030000000000001</v>
      </c>
      <c r="M19" s="5">
        <f t="shared" si="2"/>
        <v>49.995000000000005</v>
      </c>
      <c r="N19" s="13">
        <v>3922.07</v>
      </c>
      <c r="O19" s="17">
        <f t="shared" si="6"/>
        <v>6.1358241897996457E-5</v>
      </c>
      <c r="P19" s="17">
        <f t="shared" si="3"/>
        <v>1.8556664684017765E-3</v>
      </c>
      <c r="Q19" s="11">
        <f t="shared" si="7"/>
        <v>3897.1567864168078</v>
      </c>
      <c r="R19" s="15">
        <f t="shared" si="4"/>
        <v>24.913213583192373</v>
      </c>
      <c r="S19" s="16">
        <f t="shared" si="5"/>
        <v>0.63926639210476477</v>
      </c>
      <c r="V19" s="14">
        <v>0.1</v>
      </c>
      <c r="W19" s="9">
        <v>0.9</v>
      </c>
      <c r="X19" s="6">
        <v>800</v>
      </c>
      <c r="AC19" s="5"/>
      <c r="AE19">
        <v>3</v>
      </c>
      <c r="AJ19" s="13">
        <v>3870</v>
      </c>
      <c r="AK19" s="13">
        <v>3870</v>
      </c>
      <c r="AL19" s="10">
        <v>-1.3276152643884487E-2</v>
      </c>
      <c r="AM19" s="1">
        <v>60.299999237060547</v>
      </c>
      <c r="AN19" s="2">
        <v>3</v>
      </c>
      <c r="AO19" s="3">
        <v>4.3299999237060547</v>
      </c>
      <c r="AP19" s="3">
        <v>4.3299999237060547</v>
      </c>
      <c r="AR19" s="1">
        <v>49.995000000000005</v>
      </c>
      <c r="AS19" s="1">
        <v>10.030000000000001</v>
      </c>
      <c r="AT19" s="1">
        <v>44.980000000000004</v>
      </c>
      <c r="CG19">
        <v>285</v>
      </c>
      <c r="CH19" s="13">
        <v>3870</v>
      </c>
      <c r="CI19" s="13">
        <v>3870</v>
      </c>
      <c r="CJ19">
        <v>0</v>
      </c>
      <c r="CK19">
        <v>338</v>
      </c>
      <c r="CL19">
        <v>2</v>
      </c>
      <c r="CM19" s="1">
        <v>60.299999237060547</v>
      </c>
      <c r="CR19">
        <v>4197.62646484375</v>
      </c>
      <c r="CS19">
        <v>4.1592167576709471E-7</v>
      </c>
      <c r="CT19">
        <v>0.67043596506118774</v>
      </c>
    </row>
    <row r="20" spans="1:98" x14ac:dyDescent="0.3">
      <c r="A20" s="4">
        <v>8</v>
      </c>
      <c r="B20" s="6">
        <v>780</v>
      </c>
      <c r="C20" s="5">
        <v>17.98</v>
      </c>
      <c r="D20">
        <v>1</v>
      </c>
      <c r="E20">
        <v>2</v>
      </c>
      <c r="F20">
        <v>917</v>
      </c>
      <c r="G20" s="12">
        <v>288.5</v>
      </c>
      <c r="H20" s="5">
        <v>64.92</v>
      </c>
      <c r="I20" s="5">
        <v>56.73</v>
      </c>
      <c r="J20" s="5">
        <v>20.170000000000002</v>
      </c>
      <c r="K20" s="5">
        <f t="shared" si="0"/>
        <v>60.825000000000003</v>
      </c>
      <c r="L20" s="5">
        <f t="shared" si="1"/>
        <v>8.1900000000000048</v>
      </c>
      <c r="M20" s="5">
        <f t="shared" si="2"/>
        <v>40.655000000000001</v>
      </c>
      <c r="N20" s="13">
        <v>3180.13</v>
      </c>
      <c r="O20" s="17">
        <f t="shared" si="6"/>
        <v>6.0788873633034711E-5</v>
      </c>
      <c r="P20" s="17">
        <f t="shared" si="3"/>
        <v>1.8550971001368146E-3</v>
      </c>
      <c r="Q20" s="11">
        <f t="shared" si="7"/>
        <v>3189.5265555027318</v>
      </c>
      <c r="R20" s="15">
        <f t="shared" si="4"/>
        <v>9.3965555027316441</v>
      </c>
      <c r="S20" s="16">
        <f t="shared" si="5"/>
        <v>0.29460659252139587</v>
      </c>
      <c r="V20" s="14">
        <v>0.1</v>
      </c>
      <c r="W20" s="9">
        <v>0.9</v>
      </c>
      <c r="X20" s="6">
        <v>800</v>
      </c>
      <c r="AC20" s="5"/>
      <c r="AE20">
        <v>3</v>
      </c>
      <c r="AJ20" s="13">
        <v>3160</v>
      </c>
      <c r="AK20" s="13">
        <v>3160</v>
      </c>
      <c r="AL20" s="10">
        <v>-6.3299299085257665E-3</v>
      </c>
      <c r="AM20" s="1">
        <v>52.700000762939453</v>
      </c>
      <c r="AN20" s="2">
        <v>5</v>
      </c>
      <c r="AO20" s="3">
        <v>4.380000114440918</v>
      </c>
      <c r="AP20" s="3">
        <v>4.380000114440918</v>
      </c>
      <c r="AR20" s="1">
        <v>40.655000000000001</v>
      </c>
      <c r="AS20" s="1">
        <v>8.1900000000000048</v>
      </c>
      <c r="AT20" s="1">
        <v>36.56</v>
      </c>
      <c r="CG20">
        <v>290</v>
      </c>
      <c r="CH20" s="13">
        <v>3160</v>
      </c>
      <c r="CI20" s="13">
        <v>3160</v>
      </c>
      <c r="CJ20">
        <v>0</v>
      </c>
      <c r="CK20">
        <v>337</v>
      </c>
      <c r="CL20">
        <v>2.0999999046325684</v>
      </c>
      <c r="CM20" s="1">
        <v>52.700000762939453</v>
      </c>
      <c r="CR20">
        <v>4196.00048828125</v>
      </c>
      <c r="CS20">
        <v>4.7319883833552012E-7</v>
      </c>
      <c r="CT20">
        <v>0.66352236270904541</v>
      </c>
    </row>
    <row r="21" spans="1:98" x14ac:dyDescent="0.3">
      <c r="A21" s="4">
        <v>8</v>
      </c>
      <c r="B21" s="6">
        <v>780</v>
      </c>
      <c r="C21" s="5">
        <v>18.25</v>
      </c>
      <c r="D21">
        <v>1</v>
      </c>
      <c r="E21">
        <v>2</v>
      </c>
      <c r="F21">
        <v>917</v>
      </c>
      <c r="G21" s="12">
        <v>291.7</v>
      </c>
      <c r="H21" s="5">
        <v>54.88</v>
      </c>
      <c r="I21" s="5">
        <v>48.49</v>
      </c>
      <c r="J21" s="5">
        <v>19.86</v>
      </c>
      <c r="K21" s="5">
        <f t="shared" si="0"/>
        <v>51.685000000000002</v>
      </c>
      <c r="L21" s="5">
        <f t="shared" si="1"/>
        <v>6.3900000000000006</v>
      </c>
      <c r="M21" s="5">
        <f t="shared" si="2"/>
        <v>31.825000000000003</v>
      </c>
      <c r="N21" s="13">
        <v>2481.86</v>
      </c>
      <c r="O21" s="17">
        <f t="shared" si="6"/>
        <v>6.006306747634535E-5</v>
      </c>
      <c r="P21" s="17">
        <f t="shared" si="3"/>
        <v>1.8543712939801255E-3</v>
      </c>
      <c r="Q21" s="11">
        <f t="shared" si="7"/>
        <v>2519.2729076304199</v>
      </c>
      <c r="R21" s="15">
        <f t="shared" si="4"/>
        <v>37.412907630419795</v>
      </c>
      <c r="S21" s="16">
        <f t="shared" si="5"/>
        <v>1.4850676763562554</v>
      </c>
      <c r="V21" s="14">
        <v>0.1</v>
      </c>
      <c r="W21" s="9">
        <v>0.9</v>
      </c>
      <c r="X21" s="6">
        <v>800</v>
      </c>
      <c r="AC21" s="5"/>
      <c r="AE21">
        <v>3</v>
      </c>
      <c r="AJ21" s="13">
        <v>2485</v>
      </c>
      <c r="AK21" s="13">
        <v>2485</v>
      </c>
      <c r="AL21" s="10">
        <v>1.2651801471477153E-3</v>
      </c>
      <c r="AM21" s="1">
        <v>45.099998474121094</v>
      </c>
      <c r="AN21" s="2">
        <v>7</v>
      </c>
      <c r="AO21" s="3">
        <v>4.3000001907348633</v>
      </c>
      <c r="AP21" s="3">
        <v>4.3000001907348633</v>
      </c>
      <c r="AR21" s="1">
        <v>31.825000000000003</v>
      </c>
      <c r="AS21" s="1">
        <v>6.3900000000000006</v>
      </c>
      <c r="AT21" s="1">
        <v>28.630000000000003</v>
      </c>
      <c r="CG21">
        <v>290</v>
      </c>
      <c r="CH21" s="13">
        <v>2485</v>
      </c>
      <c r="CI21" s="13">
        <v>2485</v>
      </c>
      <c r="CJ21">
        <v>0</v>
      </c>
      <c r="CK21">
        <v>338</v>
      </c>
      <c r="CL21">
        <v>2.0999999046325684</v>
      </c>
      <c r="CM21" s="1">
        <v>45.099998474121094</v>
      </c>
      <c r="CR21">
        <v>4195.08740234375</v>
      </c>
      <c r="CS21">
        <v>5.4047285402702983E-7</v>
      </c>
      <c r="CT21">
        <v>0.65509456396102905</v>
      </c>
    </row>
    <row r="22" spans="1:98" x14ac:dyDescent="0.3">
      <c r="A22" s="4">
        <v>9</v>
      </c>
      <c r="B22" s="6">
        <v>580</v>
      </c>
      <c r="C22" s="5">
        <v>17.940000000000001</v>
      </c>
      <c r="D22">
        <v>1</v>
      </c>
      <c r="E22">
        <v>2</v>
      </c>
      <c r="F22">
        <v>994</v>
      </c>
      <c r="G22" s="12">
        <v>233.1</v>
      </c>
      <c r="H22" s="5">
        <v>75</v>
      </c>
      <c r="I22" s="5">
        <v>64.959999999999994</v>
      </c>
      <c r="J22" s="5">
        <v>19.920000000000002</v>
      </c>
      <c r="K22" s="5">
        <f t="shared" si="0"/>
        <v>69.97999999999999</v>
      </c>
      <c r="L22" s="5">
        <f t="shared" si="1"/>
        <v>10.040000000000006</v>
      </c>
      <c r="M22" s="5">
        <f t="shared" si="2"/>
        <v>50.059999999999988</v>
      </c>
      <c r="N22" s="13">
        <v>3127.77</v>
      </c>
      <c r="O22" s="17">
        <f t="shared" si="6"/>
        <v>6.0307025343728205E-5</v>
      </c>
      <c r="P22" s="17">
        <f t="shared" si="3"/>
        <v>1.8546152518475081E-3</v>
      </c>
      <c r="Q22" s="11">
        <f t="shared" si="7"/>
        <v>3162.0763164009581</v>
      </c>
      <c r="R22" s="15">
        <f t="shared" si="4"/>
        <v>34.306316400958167</v>
      </c>
      <c r="S22" s="16">
        <f t="shared" si="5"/>
        <v>1.084930057602318</v>
      </c>
      <c r="V22" s="14">
        <v>0.1</v>
      </c>
      <c r="W22" s="9">
        <v>0.9</v>
      </c>
      <c r="X22" s="6">
        <v>600</v>
      </c>
      <c r="AC22" s="5"/>
      <c r="AE22">
        <v>3</v>
      </c>
      <c r="AJ22" s="13">
        <v>3081</v>
      </c>
      <c r="AK22" s="13">
        <v>3081</v>
      </c>
      <c r="AL22" s="10">
        <v>-1.4953145531800605E-2</v>
      </c>
      <c r="AM22" s="1">
        <v>59.099998474121094</v>
      </c>
      <c r="AN22" s="2">
        <v>4</v>
      </c>
      <c r="AO22" s="3">
        <v>4.320000171661377</v>
      </c>
      <c r="AP22" s="3">
        <v>4.320000171661377</v>
      </c>
      <c r="AR22" s="1">
        <v>50.059999999999988</v>
      </c>
      <c r="AS22" s="1">
        <v>10.040000000000006</v>
      </c>
      <c r="AT22" s="1">
        <v>45.039999999999985</v>
      </c>
      <c r="CG22">
        <v>235</v>
      </c>
      <c r="CH22" s="13">
        <v>3081</v>
      </c>
      <c r="CI22" s="13">
        <v>3081</v>
      </c>
      <c r="CJ22">
        <v>0</v>
      </c>
      <c r="CK22">
        <v>269</v>
      </c>
      <c r="CL22">
        <v>1.1000000238418579</v>
      </c>
      <c r="CM22" s="1">
        <v>59.099998474121094</v>
      </c>
      <c r="CR22">
        <v>4197.625</v>
      </c>
      <c r="CS22">
        <v>4.1595083644097031E-7</v>
      </c>
      <c r="CT22">
        <v>0.67043262720108032</v>
      </c>
    </row>
    <row r="23" spans="1:98" x14ac:dyDescent="0.3">
      <c r="A23" s="4">
        <v>9</v>
      </c>
      <c r="B23" s="6">
        <v>580</v>
      </c>
      <c r="C23" s="5">
        <v>17.66</v>
      </c>
      <c r="D23">
        <v>1</v>
      </c>
      <c r="E23">
        <v>2</v>
      </c>
      <c r="F23">
        <v>995</v>
      </c>
      <c r="G23" s="12">
        <v>230.7</v>
      </c>
      <c r="H23" s="5">
        <v>84.94</v>
      </c>
      <c r="I23" s="5">
        <v>73.08</v>
      </c>
      <c r="J23" s="5">
        <v>19.98</v>
      </c>
      <c r="K23" s="5">
        <f t="shared" si="0"/>
        <v>79.009999999999991</v>
      </c>
      <c r="L23" s="5">
        <f t="shared" si="1"/>
        <v>11.86</v>
      </c>
      <c r="M23" s="5">
        <f t="shared" si="2"/>
        <v>59.029999999999987</v>
      </c>
      <c r="N23" s="13">
        <v>3700.38</v>
      </c>
      <c r="O23" s="17">
        <f t="shared" si="6"/>
        <v>6.0802382511297171E-5</v>
      </c>
      <c r="P23" s="17">
        <f t="shared" si="3"/>
        <v>1.8551106090150772E-3</v>
      </c>
      <c r="Q23" s="11">
        <f t="shared" si="7"/>
        <v>3710.4892072636299</v>
      </c>
      <c r="R23" s="15">
        <f t="shared" si="4"/>
        <v>10.109207263629742</v>
      </c>
      <c r="S23" s="16">
        <f t="shared" si="5"/>
        <v>0.27244944531411575</v>
      </c>
      <c r="V23" s="14">
        <v>0.1</v>
      </c>
      <c r="W23" s="9">
        <v>0.9</v>
      </c>
      <c r="X23" s="6">
        <v>600</v>
      </c>
      <c r="AC23" s="5"/>
      <c r="AE23">
        <v>3</v>
      </c>
      <c r="AJ23" s="13">
        <v>3620</v>
      </c>
      <c r="AK23" s="13">
        <v>3620</v>
      </c>
      <c r="AL23" s="10">
        <v>-2.1722093406623122E-2</v>
      </c>
      <c r="AM23" s="1">
        <v>66.599998474121094</v>
      </c>
      <c r="AN23" s="2">
        <v>3</v>
      </c>
      <c r="AO23" s="3">
        <v>4.3299999237060547</v>
      </c>
      <c r="AP23" s="3">
        <v>4.3299999237060547</v>
      </c>
      <c r="AR23" s="1">
        <v>59.029999999999987</v>
      </c>
      <c r="AS23" s="1">
        <v>11.86</v>
      </c>
      <c r="AT23" s="1">
        <v>53.099999999999987</v>
      </c>
      <c r="CG23">
        <v>230</v>
      </c>
      <c r="CH23" s="13">
        <v>3620</v>
      </c>
      <c r="CI23" s="13">
        <v>3620</v>
      </c>
      <c r="CJ23">
        <v>0</v>
      </c>
      <c r="CK23">
        <v>269</v>
      </c>
      <c r="CL23">
        <v>1</v>
      </c>
      <c r="CM23" s="1">
        <v>66.599998474121094</v>
      </c>
      <c r="CR23">
        <v>4200.26806640625</v>
      </c>
      <c r="CS23">
        <v>3.6735073649651895E-7</v>
      </c>
      <c r="CT23">
        <v>0.67537587881088257</v>
      </c>
    </row>
    <row r="24" spans="1:98" x14ac:dyDescent="0.3">
      <c r="A24" s="4">
        <v>9</v>
      </c>
      <c r="B24" s="6">
        <v>580</v>
      </c>
      <c r="C24" s="5">
        <v>18.43</v>
      </c>
      <c r="D24">
        <v>1</v>
      </c>
      <c r="E24">
        <v>2</v>
      </c>
      <c r="F24">
        <v>995</v>
      </c>
      <c r="G24" s="12">
        <v>238.7</v>
      </c>
      <c r="H24" s="5">
        <v>54.97</v>
      </c>
      <c r="I24" s="5">
        <v>48.56</v>
      </c>
      <c r="J24" s="5">
        <v>19.95</v>
      </c>
      <c r="K24" s="5">
        <f t="shared" si="0"/>
        <v>51.765000000000001</v>
      </c>
      <c r="L24" s="5">
        <f t="shared" si="1"/>
        <v>6.4099999999999966</v>
      </c>
      <c r="M24" s="5">
        <f t="shared" si="2"/>
        <v>31.815000000000001</v>
      </c>
      <c r="N24" s="13">
        <v>1993.14</v>
      </c>
      <c r="O24" s="17">
        <f t="shared" si="6"/>
        <v>5.9514630501374668E-5</v>
      </c>
      <c r="P24" s="17">
        <f t="shared" si="3"/>
        <v>1.8538228570051548E-3</v>
      </c>
      <c r="Q24" s="11">
        <f t="shared" si="7"/>
        <v>2041.8296607397112</v>
      </c>
      <c r="R24" s="15">
        <f t="shared" si="4"/>
        <v>48.689660739711144</v>
      </c>
      <c r="S24" s="16">
        <f t="shared" si="5"/>
        <v>2.3846093371996502</v>
      </c>
      <c r="V24" s="14">
        <v>0.1</v>
      </c>
      <c r="W24" s="9">
        <v>0.9</v>
      </c>
      <c r="X24" s="6">
        <v>600</v>
      </c>
      <c r="AC24" s="5"/>
      <c r="AE24">
        <v>3</v>
      </c>
      <c r="AJ24" s="13">
        <v>1971</v>
      </c>
      <c r="AK24" s="13">
        <v>1971</v>
      </c>
      <c r="AL24" s="10">
        <v>-1.1108100785695019E-2</v>
      </c>
      <c r="AM24" s="1">
        <v>44.5</v>
      </c>
      <c r="AN24" s="2">
        <v>8</v>
      </c>
      <c r="AO24" s="3">
        <v>4.320000171661377</v>
      </c>
      <c r="AP24" s="3">
        <v>4.320000171661377</v>
      </c>
      <c r="AR24" s="1">
        <v>31.815000000000001</v>
      </c>
      <c r="AS24" s="1">
        <v>6.4099999999999966</v>
      </c>
      <c r="AT24" s="1">
        <v>28.610000000000003</v>
      </c>
      <c r="CG24">
        <v>240</v>
      </c>
      <c r="CH24" s="13">
        <v>1971</v>
      </c>
      <c r="CI24" s="13">
        <v>1971</v>
      </c>
      <c r="CJ24">
        <v>0</v>
      </c>
      <c r="CK24">
        <v>267</v>
      </c>
      <c r="CL24">
        <v>1.1000000238418579</v>
      </c>
      <c r="CM24" s="1">
        <v>44.5</v>
      </c>
      <c r="CR24">
        <v>4195.09326171875</v>
      </c>
      <c r="CS24">
        <v>5.3982245162842446E-7</v>
      </c>
      <c r="CT24">
        <v>0.65517407655715942</v>
      </c>
    </row>
    <row r="25" spans="1:98" x14ac:dyDescent="0.3">
      <c r="A25" s="4">
        <v>9</v>
      </c>
      <c r="B25" s="6">
        <v>780</v>
      </c>
      <c r="C25" s="5">
        <v>18.260000000000002</v>
      </c>
      <c r="D25">
        <v>1</v>
      </c>
      <c r="E25">
        <v>2</v>
      </c>
      <c r="F25">
        <v>999</v>
      </c>
      <c r="G25" s="12">
        <v>315.7</v>
      </c>
      <c r="H25" s="5">
        <v>74.94</v>
      </c>
      <c r="I25" s="5">
        <v>64.92</v>
      </c>
      <c r="J25" s="5">
        <v>20.92</v>
      </c>
      <c r="K25" s="5">
        <f t="shared" si="0"/>
        <v>69.930000000000007</v>
      </c>
      <c r="L25" s="5">
        <f t="shared" si="1"/>
        <v>10.019999999999996</v>
      </c>
      <c r="M25" s="5">
        <f t="shared" si="2"/>
        <v>49.010000000000005</v>
      </c>
      <c r="N25" s="13">
        <v>4180.88</v>
      </c>
      <c r="O25" s="17">
        <f t="shared" si="6"/>
        <v>6.1049416153985192E-5</v>
      </c>
      <c r="P25" s="17">
        <f t="shared" si="3"/>
        <v>1.8553576426577653E-3</v>
      </c>
      <c r="Q25" s="11">
        <f t="shared" si="7"/>
        <v>4175.3379472657625</v>
      </c>
      <c r="R25" s="15">
        <f t="shared" si="4"/>
        <v>5.5420527342375863</v>
      </c>
      <c r="S25" s="16">
        <f t="shared" si="5"/>
        <v>0.13273303393002145</v>
      </c>
      <c r="V25" s="14">
        <v>0.1</v>
      </c>
      <c r="W25" s="9">
        <v>0.9</v>
      </c>
      <c r="X25" s="6">
        <v>800</v>
      </c>
      <c r="AC25" s="5"/>
      <c r="AE25">
        <v>3</v>
      </c>
      <c r="AJ25" s="13">
        <v>4107</v>
      </c>
      <c r="AK25" s="13">
        <v>4107</v>
      </c>
      <c r="AL25" s="10">
        <v>-1.7670920954440228E-2</v>
      </c>
      <c r="AM25" s="1">
        <v>59.700000762939453</v>
      </c>
      <c r="AN25" s="2">
        <v>4</v>
      </c>
      <c r="AO25" s="3">
        <v>4.5900001525878906</v>
      </c>
      <c r="AP25" s="3">
        <v>4.5900001525878906</v>
      </c>
      <c r="AR25" s="1">
        <v>49.010000000000005</v>
      </c>
      <c r="AS25" s="1">
        <v>10.019999999999996</v>
      </c>
      <c r="AT25" s="1">
        <v>44.000000000000007</v>
      </c>
      <c r="CG25">
        <v>315</v>
      </c>
      <c r="CH25" s="13">
        <v>4107</v>
      </c>
      <c r="CI25" s="13">
        <v>4107</v>
      </c>
      <c r="CJ25">
        <v>0</v>
      </c>
      <c r="CK25">
        <v>359</v>
      </c>
      <c r="CL25">
        <v>2.2999999523162842</v>
      </c>
      <c r="CM25" s="1">
        <v>59.700000762939453</v>
      </c>
      <c r="CR25">
        <v>4197.61376953125</v>
      </c>
      <c r="CS25">
        <v>4.1624218738434138E-7</v>
      </c>
      <c r="CT25">
        <v>0.67039972543716431</v>
      </c>
    </row>
    <row r="26" spans="1:98" x14ac:dyDescent="0.3">
      <c r="A26" s="4">
        <v>9</v>
      </c>
      <c r="B26" s="6">
        <v>780</v>
      </c>
      <c r="C26" s="5">
        <v>17.82</v>
      </c>
      <c r="D26">
        <v>1</v>
      </c>
      <c r="E26">
        <v>2</v>
      </c>
      <c r="F26">
        <v>999</v>
      </c>
      <c r="G26" s="12">
        <v>318.89999999999998</v>
      </c>
      <c r="H26" s="5">
        <v>64.989999999999995</v>
      </c>
      <c r="I26" s="5">
        <v>56.64</v>
      </c>
      <c r="J26" s="5">
        <v>20.02</v>
      </c>
      <c r="K26" s="5">
        <f t="shared" si="0"/>
        <v>60.814999999999998</v>
      </c>
      <c r="L26" s="5">
        <f t="shared" si="1"/>
        <v>8.3499999999999943</v>
      </c>
      <c r="M26" s="5">
        <f t="shared" si="2"/>
        <v>40.795000000000002</v>
      </c>
      <c r="N26" s="13">
        <v>3485.87</v>
      </c>
      <c r="O26" s="17">
        <f t="shared" si="6"/>
        <v>6.0777842439656599E-5</v>
      </c>
      <c r="P26" s="17">
        <f t="shared" si="3"/>
        <v>1.8550860689434366E-3</v>
      </c>
      <c r="Q26" s="11">
        <f t="shared" si="7"/>
        <v>3496.8045028568999</v>
      </c>
      <c r="R26" s="15">
        <f t="shared" si="4"/>
        <v>10.934502856900053</v>
      </c>
      <c r="S26" s="16">
        <f t="shared" si="5"/>
        <v>0.31269986205881839</v>
      </c>
      <c r="V26" s="14">
        <v>0.1</v>
      </c>
      <c r="W26" s="9">
        <v>0.9</v>
      </c>
      <c r="X26" s="6">
        <v>800</v>
      </c>
      <c r="AC26" s="5"/>
      <c r="AE26">
        <v>3</v>
      </c>
      <c r="AJ26" s="13">
        <v>3437</v>
      </c>
      <c r="AK26" s="13">
        <v>3437</v>
      </c>
      <c r="AL26" s="10">
        <v>-1.4019455688249916E-2</v>
      </c>
      <c r="AM26" s="1">
        <v>52</v>
      </c>
      <c r="AN26" s="2">
        <v>5</v>
      </c>
      <c r="AO26" s="3">
        <v>4.3400001525878906</v>
      </c>
      <c r="AP26" s="3">
        <v>4.3400001525878906</v>
      </c>
      <c r="AR26" s="1">
        <v>40.795000000000002</v>
      </c>
      <c r="AS26" s="1">
        <v>8.3499999999999943</v>
      </c>
      <c r="AT26" s="1">
        <v>36.620000000000005</v>
      </c>
      <c r="CG26">
        <v>320</v>
      </c>
      <c r="CH26" s="13">
        <v>3437</v>
      </c>
      <c r="CI26" s="13">
        <v>3437</v>
      </c>
      <c r="CJ26">
        <v>0</v>
      </c>
      <c r="CK26">
        <v>359</v>
      </c>
      <c r="CL26">
        <v>2.2999999523162842</v>
      </c>
      <c r="CM26" s="1">
        <v>52</v>
      </c>
      <c r="CR26">
        <v>4195.99951171875</v>
      </c>
      <c r="CS26">
        <v>4.732660272566136E-7</v>
      </c>
      <c r="CT26">
        <v>0.6635138988494873</v>
      </c>
    </row>
    <row r="27" spans="1:98" x14ac:dyDescent="0.3">
      <c r="A27" s="4">
        <v>9</v>
      </c>
      <c r="B27" s="6">
        <v>780</v>
      </c>
      <c r="C27" s="5">
        <v>18.34</v>
      </c>
      <c r="D27">
        <v>1</v>
      </c>
      <c r="E27">
        <v>2</v>
      </c>
      <c r="F27">
        <v>1000</v>
      </c>
      <c r="G27" s="12">
        <v>322.89999999999998</v>
      </c>
      <c r="H27" s="5">
        <v>54.98</v>
      </c>
      <c r="I27" s="5">
        <v>48.53</v>
      </c>
      <c r="J27" s="5">
        <v>20.02</v>
      </c>
      <c r="K27" s="5">
        <f t="shared" si="0"/>
        <v>51.754999999999995</v>
      </c>
      <c r="L27" s="5">
        <f t="shared" si="1"/>
        <v>6.4499999999999957</v>
      </c>
      <c r="M27" s="5">
        <f t="shared" si="2"/>
        <v>31.734999999999996</v>
      </c>
      <c r="N27" s="13">
        <v>2690.11</v>
      </c>
      <c r="O27" s="17">
        <f t="shared" si="6"/>
        <v>5.9642107129312964E-5</v>
      </c>
      <c r="P27" s="17">
        <f t="shared" si="3"/>
        <v>1.853950333633093E-3</v>
      </c>
      <c r="Q27" s="11">
        <f t="shared" si="7"/>
        <v>2749.9354860371368</v>
      </c>
      <c r="R27" s="15">
        <f t="shared" si="4"/>
        <v>59.82548603713667</v>
      </c>
      <c r="S27" s="16">
        <f t="shared" si="5"/>
        <v>2.1755232564873661</v>
      </c>
      <c r="V27" s="14">
        <v>0.1</v>
      </c>
      <c r="W27" s="9">
        <v>0.9</v>
      </c>
      <c r="X27" s="6">
        <v>800</v>
      </c>
      <c r="AC27" s="5"/>
      <c r="AE27">
        <v>3</v>
      </c>
      <c r="AJ27" s="13">
        <v>2687</v>
      </c>
      <c r="AK27" s="13">
        <v>2687</v>
      </c>
      <c r="AL27" s="10">
        <v>-1.1560865540815035E-3</v>
      </c>
      <c r="AM27" s="1">
        <v>44.700000762939453</v>
      </c>
      <c r="AN27" s="2">
        <v>7</v>
      </c>
      <c r="AO27" s="3">
        <v>4.3400001525878906</v>
      </c>
      <c r="AP27" s="3">
        <v>4.3400001525878906</v>
      </c>
      <c r="AR27" s="1">
        <v>31.734999999999996</v>
      </c>
      <c r="AS27" s="1">
        <v>6.4499999999999957</v>
      </c>
      <c r="AT27" s="1">
        <v>28.509999999999998</v>
      </c>
      <c r="CG27">
        <v>325</v>
      </c>
      <c r="CH27" s="13">
        <v>2687</v>
      </c>
      <c r="CI27" s="13">
        <v>2687</v>
      </c>
      <c r="CJ27">
        <v>0</v>
      </c>
      <c r="CK27">
        <v>362</v>
      </c>
      <c r="CL27">
        <v>2.4000000953674316</v>
      </c>
      <c r="CM27" s="1">
        <v>44.700000762939453</v>
      </c>
      <c r="CR27">
        <v>4195.09228515625</v>
      </c>
      <c r="CS27">
        <v>5.3990373771739542E-7</v>
      </c>
      <c r="CT27">
        <v>0.65516418218612671</v>
      </c>
    </row>
    <row r="28" spans="1:98" x14ac:dyDescent="0.3">
      <c r="A28" s="4">
        <v>10</v>
      </c>
      <c r="B28" s="6">
        <v>580</v>
      </c>
      <c r="C28" s="5">
        <v>17.91</v>
      </c>
      <c r="D28">
        <v>1</v>
      </c>
      <c r="E28">
        <v>2</v>
      </c>
      <c r="F28">
        <v>1073</v>
      </c>
      <c r="G28" s="12">
        <v>254.6</v>
      </c>
      <c r="H28" s="5">
        <v>75</v>
      </c>
      <c r="I28" s="5">
        <v>64.98</v>
      </c>
      <c r="J28" s="5">
        <v>19.97</v>
      </c>
      <c r="K28" s="5">
        <f t="shared" si="0"/>
        <v>69.990000000000009</v>
      </c>
      <c r="L28" s="5">
        <f t="shared" si="1"/>
        <v>10.019999999999996</v>
      </c>
      <c r="M28" s="5">
        <f t="shared" si="2"/>
        <v>50.02000000000001</v>
      </c>
      <c r="N28" s="13">
        <v>3378.22</v>
      </c>
      <c r="O28" s="17">
        <f t="shared" si="6"/>
        <v>6.0071502246178533E-5</v>
      </c>
      <c r="P28" s="17">
        <f t="shared" si="3"/>
        <v>1.8543797287499586E-3</v>
      </c>
      <c r="Q28" s="11">
        <f t="shared" si="7"/>
        <v>3428.6636321395172</v>
      </c>
      <c r="R28" s="15">
        <f t="shared" si="4"/>
        <v>50.443632139517376</v>
      </c>
      <c r="S28" s="16">
        <f t="shared" si="5"/>
        <v>1.4712330386296935</v>
      </c>
      <c r="V28" s="14">
        <v>0.1</v>
      </c>
      <c r="W28" s="9">
        <v>0.9</v>
      </c>
      <c r="X28" s="6">
        <v>600</v>
      </c>
      <c r="AC28" s="5"/>
      <c r="AE28">
        <v>3</v>
      </c>
      <c r="AJ28" s="13">
        <v>3303</v>
      </c>
      <c r="AK28" s="13">
        <v>3303</v>
      </c>
      <c r="AL28" s="10">
        <v>-2.22661638377607E-2</v>
      </c>
      <c r="AM28" s="1">
        <v>58.5</v>
      </c>
      <c r="AN28" s="2">
        <v>4</v>
      </c>
      <c r="AO28" s="3">
        <v>4.3299999237060547</v>
      </c>
      <c r="AP28" s="3">
        <v>4.3299999237060547</v>
      </c>
      <c r="AR28" s="1">
        <v>50.02000000000001</v>
      </c>
      <c r="AS28" s="1">
        <v>10.019999999999996</v>
      </c>
      <c r="AT28" s="1">
        <v>45.010000000000012</v>
      </c>
      <c r="CG28">
        <v>255</v>
      </c>
      <c r="CH28" s="13">
        <v>3303</v>
      </c>
      <c r="CI28" s="13">
        <v>3303</v>
      </c>
      <c r="CJ28">
        <v>0</v>
      </c>
      <c r="CK28">
        <v>289</v>
      </c>
      <c r="CL28">
        <v>1.2000000476837158</v>
      </c>
      <c r="CM28" s="1">
        <v>58.5</v>
      </c>
      <c r="CR28">
        <v>4197.62744140625</v>
      </c>
      <c r="CS28">
        <v>4.1589251509321912E-7</v>
      </c>
      <c r="CT28">
        <v>0.67043924331665039</v>
      </c>
    </row>
    <row r="29" spans="1:98" x14ac:dyDescent="0.3">
      <c r="A29" s="4">
        <v>10</v>
      </c>
      <c r="B29" s="6">
        <v>580</v>
      </c>
      <c r="C29" s="5">
        <v>17.84</v>
      </c>
      <c r="D29">
        <v>1</v>
      </c>
      <c r="E29">
        <v>2</v>
      </c>
      <c r="F29">
        <v>1076</v>
      </c>
      <c r="G29" s="12">
        <v>252.7</v>
      </c>
      <c r="H29" s="5">
        <v>84.96</v>
      </c>
      <c r="I29" s="5">
        <v>73.2</v>
      </c>
      <c r="J29" s="5">
        <v>20.36</v>
      </c>
      <c r="K29" s="5">
        <f t="shared" si="0"/>
        <v>79.08</v>
      </c>
      <c r="L29" s="5">
        <f t="shared" si="1"/>
        <v>11.759999999999991</v>
      </c>
      <c r="M29" s="5">
        <f t="shared" si="2"/>
        <v>58.72</v>
      </c>
      <c r="N29" s="13">
        <v>3972.09</v>
      </c>
      <c r="O29" s="17">
        <f t="shared" si="6"/>
        <v>6.0317375150925304E-5</v>
      </c>
      <c r="P29" s="17">
        <f t="shared" si="3"/>
        <v>1.8546256016547054E-3</v>
      </c>
      <c r="Q29" s="11">
        <f t="shared" si="7"/>
        <v>4014.968027381095</v>
      </c>
      <c r="R29" s="15">
        <f t="shared" si="4"/>
        <v>42.878027381094853</v>
      </c>
      <c r="S29" s="16">
        <f t="shared" si="5"/>
        <v>1.0679543918825085</v>
      </c>
      <c r="V29" s="14">
        <v>0.1</v>
      </c>
      <c r="W29" s="9">
        <v>0.9</v>
      </c>
      <c r="X29" s="6">
        <v>600</v>
      </c>
      <c r="AC29" s="5"/>
      <c r="AE29">
        <v>3</v>
      </c>
      <c r="AJ29" s="13">
        <v>3871</v>
      </c>
      <c r="AK29" s="13">
        <v>3871</v>
      </c>
      <c r="AL29" s="10">
        <v>-2.5450077918677594E-2</v>
      </c>
      <c r="AM29" s="1">
        <v>65.900001525878906</v>
      </c>
      <c r="AN29" s="2">
        <v>3</v>
      </c>
      <c r="AO29" s="3">
        <v>4.440000057220459</v>
      </c>
      <c r="AP29" s="3">
        <v>4.440000057220459</v>
      </c>
      <c r="AR29" s="1">
        <v>58.72</v>
      </c>
      <c r="AS29" s="1">
        <v>11.759999999999991</v>
      </c>
      <c r="AT29" s="1">
        <v>52.84</v>
      </c>
      <c r="CG29">
        <v>255</v>
      </c>
      <c r="CH29" s="13">
        <v>3871</v>
      </c>
      <c r="CI29" s="13">
        <v>3871</v>
      </c>
      <c r="CJ29">
        <v>0</v>
      </c>
      <c r="CK29">
        <v>290</v>
      </c>
      <c r="CL29">
        <v>1.2000000476837158</v>
      </c>
      <c r="CM29" s="1">
        <v>65.900001525878906</v>
      </c>
      <c r="CR29">
        <v>4200.29345703125</v>
      </c>
      <c r="CS29">
        <v>3.6700942018796923E-7</v>
      </c>
      <c r="CT29">
        <v>0.67540574073791504</v>
      </c>
    </row>
    <row r="30" spans="1:98" x14ac:dyDescent="0.3">
      <c r="A30" s="4">
        <v>10</v>
      </c>
      <c r="B30" s="6">
        <v>580</v>
      </c>
      <c r="C30" s="5">
        <v>18.63</v>
      </c>
      <c r="D30">
        <v>1</v>
      </c>
      <c r="E30">
        <v>2</v>
      </c>
      <c r="F30">
        <v>1076</v>
      </c>
      <c r="G30" s="12">
        <v>261.3</v>
      </c>
      <c r="H30" s="5">
        <v>55.01</v>
      </c>
      <c r="I30" s="5">
        <v>48.64</v>
      </c>
      <c r="J30" s="5">
        <v>19.98</v>
      </c>
      <c r="K30" s="5">
        <f t="shared" si="0"/>
        <v>51.825000000000003</v>
      </c>
      <c r="L30" s="5">
        <f t="shared" si="1"/>
        <v>6.3699999999999974</v>
      </c>
      <c r="M30" s="5">
        <f t="shared" si="2"/>
        <v>31.845000000000002</v>
      </c>
      <c r="N30" s="13">
        <v>2141.7800000000002</v>
      </c>
      <c r="O30" s="17">
        <f t="shared" si="6"/>
        <v>5.8710931274192241E-5</v>
      </c>
      <c r="P30" s="17">
        <f t="shared" si="3"/>
        <v>1.8530191577779723E-3</v>
      </c>
      <c r="Q30" s="11">
        <f t="shared" si="7"/>
        <v>2224.1359734571729</v>
      </c>
      <c r="R30" s="15">
        <f t="shared" si="4"/>
        <v>82.355973457172695</v>
      </c>
      <c r="S30" s="16">
        <f t="shared" si="5"/>
        <v>3.7028299726279523</v>
      </c>
      <c r="V30" s="14">
        <v>0.1</v>
      </c>
      <c r="W30" s="9">
        <v>0.9</v>
      </c>
      <c r="X30" s="6">
        <v>600</v>
      </c>
      <c r="AC30" s="5"/>
      <c r="AE30">
        <v>3</v>
      </c>
      <c r="AJ30" s="13">
        <v>2120</v>
      </c>
      <c r="AK30" s="13">
        <v>2120</v>
      </c>
      <c r="AL30" s="10">
        <v>-1.0169111673467901E-2</v>
      </c>
      <c r="AM30" s="1">
        <v>44.099998474121094</v>
      </c>
      <c r="AN30" s="2">
        <v>8</v>
      </c>
      <c r="AO30" s="3">
        <v>4.3299999237060547</v>
      </c>
      <c r="AP30" s="3">
        <v>4.3299999237060547</v>
      </c>
      <c r="AR30" s="1">
        <v>31.845000000000002</v>
      </c>
      <c r="AS30" s="1">
        <v>6.3699999999999974</v>
      </c>
      <c r="AT30" s="1">
        <v>28.660000000000004</v>
      </c>
      <c r="CG30">
        <v>260</v>
      </c>
      <c r="CH30" s="13">
        <v>2120</v>
      </c>
      <c r="CI30" s="13">
        <v>2120</v>
      </c>
      <c r="CJ30">
        <v>0</v>
      </c>
      <c r="CK30">
        <v>289</v>
      </c>
      <c r="CL30">
        <v>1.2999999523162842</v>
      </c>
      <c r="CM30" s="1">
        <v>44.099998474121094</v>
      </c>
      <c r="CR30">
        <v>4195.09765625</v>
      </c>
      <c r="CS30">
        <v>5.3933553090246278E-7</v>
      </c>
      <c r="CT30">
        <v>0.65523368120193481</v>
      </c>
    </row>
    <row r="31" spans="1:98" x14ac:dyDescent="0.3">
      <c r="A31" s="4">
        <v>10</v>
      </c>
      <c r="B31" s="6">
        <v>780</v>
      </c>
      <c r="C31" s="5">
        <v>18.54</v>
      </c>
      <c r="D31">
        <v>1</v>
      </c>
      <c r="E31">
        <v>2</v>
      </c>
      <c r="F31">
        <v>1075</v>
      </c>
      <c r="G31" s="12">
        <v>343.8</v>
      </c>
      <c r="H31" s="5">
        <v>75</v>
      </c>
      <c r="I31" s="5">
        <v>65.14</v>
      </c>
      <c r="J31" s="5">
        <v>21.36</v>
      </c>
      <c r="K31" s="5">
        <f t="shared" si="0"/>
        <v>70.069999999999993</v>
      </c>
      <c r="L31" s="5">
        <f t="shared" si="1"/>
        <v>9.86</v>
      </c>
      <c r="M31" s="5">
        <f t="shared" si="2"/>
        <v>48.709999999999994</v>
      </c>
      <c r="N31" s="13">
        <v>4452.93</v>
      </c>
      <c r="O31" s="17">
        <f t="shared" si="6"/>
        <v>6.0391750588005119E-5</v>
      </c>
      <c r="P31" s="17">
        <f t="shared" si="3"/>
        <v>1.8546999770917851E-3</v>
      </c>
      <c r="Q31" s="11">
        <f t="shared" si="7"/>
        <v>4495.455409258996</v>
      </c>
      <c r="R31" s="15">
        <f t="shared" si="4"/>
        <v>42.525409258995751</v>
      </c>
      <c r="S31" s="16">
        <f t="shared" si="5"/>
        <v>0.94596443268926134</v>
      </c>
      <c r="V31" s="14">
        <v>0.1</v>
      </c>
      <c r="W31" s="9">
        <v>0.9</v>
      </c>
      <c r="X31" s="6">
        <v>800</v>
      </c>
      <c r="AC31" s="5"/>
      <c r="AE31">
        <v>3</v>
      </c>
      <c r="AJ31" s="13">
        <v>4368</v>
      </c>
      <c r="AK31" s="13">
        <v>4368</v>
      </c>
      <c r="AL31" s="10">
        <v>-1.9072835189414716E-2</v>
      </c>
      <c r="AM31" s="1">
        <v>59.299999237060547</v>
      </c>
      <c r="AN31" s="2">
        <v>4</v>
      </c>
      <c r="AO31" s="3">
        <v>4.7199997901916504</v>
      </c>
      <c r="AP31" s="3">
        <v>4.7199997901916504</v>
      </c>
      <c r="AR31" s="1">
        <v>48.709999999999994</v>
      </c>
      <c r="AS31" s="1">
        <v>9.86</v>
      </c>
      <c r="AT31" s="1">
        <v>43.779999999999994</v>
      </c>
      <c r="CG31">
        <v>345</v>
      </c>
      <c r="CH31" s="13">
        <v>4368</v>
      </c>
      <c r="CI31" s="13">
        <v>4368</v>
      </c>
      <c r="CJ31">
        <v>0</v>
      </c>
      <c r="CK31">
        <v>388</v>
      </c>
      <c r="CL31">
        <v>2.5999999046325684</v>
      </c>
      <c r="CM31" s="1">
        <v>59.299999237060547</v>
      </c>
      <c r="CR31">
        <v>4197.64599609375</v>
      </c>
      <c r="CS31">
        <v>4.1542688222762081E-7</v>
      </c>
      <c r="CT31">
        <v>0.67049181461334229</v>
      </c>
    </row>
    <row r="32" spans="1:98" x14ac:dyDescent="0.3">
      <c r="A32" s="4">
        <v>10</v>
      </c>
      <c r="B32" s="6">
        <v>780</v>
      </c>
      <c r="C32" s="5">
        <v>17.940000000000001</v>
      </c>
      <c r="D32">
        <v>1</v>
      </c>
      <c r="E32">
        <v>2</v>
      </c>
      <c r="F32">
        <v>1075</v>
      </c>
      <c r="G32" s="12">
        <v>347.2</v>
      </c>
      <c r="H32" s="5">
        <v>64.95</v>
      </c>
      <c r="I32" s="5">
        <v>56.7</v>
      </c>
      <c r="J32" s="5">
        <v>20.260000000000002</v>
      </c>
      <c r="K32" s="5">
        <f t="shared" si="0"/>
        <v>60.825000000000003</v>
      </c>
      <c r="L32" s="5">
        <f t="shared" si="1"/>
        <v>8.25</v>
      </c>
      <c r="M32" s="5">
        <f t="shared" si="2"/>
        <v>40.564999999999998</v>
      </c>
      <c r="N32" s="13">
        <v>3723.64</v>
      </c>
      <c r="O32" s="17">
        <f t="shared" si="6"/>
        <v>6.0307585286028814E-5</v>
      </c>
      <c r="P32" s="17">
        <f t="shared" si="3"/>
        <v>1.8546158117898088E-3</v>
      </c>
      <c r="Q32" s="11">
        <f t="shared" si="7"/>
        <v>3764.4470443305609</v>
      </c>
      <c r="R32" s="15">
        <f t="shared" si="4"/>
        <v>40.807044330560984</v>
      </c>
      <c r="S32" s="16">
        <f t="shared" si="5"/>
        <v>1.0840116450042347</v>
      </c>
      <c r="V32" s="14">
        <v>0.1</v>
      </c>
      <c r="W32" s="9">
        <v>0.9</v>
      </c>
      <c r="X32" s="6">
        <v>800</v>
      </c>
      <c r="AC32" s="5"/>
      <c r="AE32">
        <v>3</v>
      </c>
      <c r="AJ32" s="13">
        <v>3657</v>
      </c>
      <c r="AK32" s="13">
        <v>3657</v>
      </c>
      <c r="AL32" s="10">
        <v>-1.7896466897981522E-2</v>
      </c>
      <c r="AM32" s="1">
        <v>51.599998474121094</v>
      </c>
      <c r="AN32" s="2">
        <v>5</v>
      </c>
      <c r="AO32" s="3">
        <v>4.4099998474121094</v>
      </c>
      <c r="AP32" s="3">
        <v>4.4099998474121094</v>
      </c>
      <c r="AR32" s="1">
        <v>40.564999999999998</v>
      </c>
      <c r="AS32" s="1">
        <v>8.25</v>
      </c>
      <c r="AT32" s="1">
        <v>36.44</v>
      </c>
      <c r="CG32">
        <v>345</v>
      </c>
      <c r="CH32" s="13">
        <v>3657</v>
      </c>
      <c r="CI32" s="13">
        <v>3657</v>
      </c>
      <c r="CJ32">
        <v>0</v>
      </c>
      <c r="CK32">
        <v>387</v>
      </c>
      <c r="CL32">
        <v>2.7000000476837158</v>
      </c>
      <c r="CM32" s="1">
        <v>51.599998474121094</v>
      </c>
      <c r="CR32">
        <v>4196.00048828125</v>
      </c>
      <c r="CS32">
        <v>4.7319883833552012E-7</v>
      </c>
      <c r="CT32">
        <v>0.66352236270904541</v>
      </c>
    </row>
    <row r="33" spans="1:98" x14ac:dyDescent="0.3">
      <c r="A33" s="4">
        <v>10</v>
      </c>
      <c r="B33" s="6">
        <v>780</v>
      </c>
      <c r="C33" s="5">
        <v>18.27</v>
      </c>
      <c r="D33">
        <v>1</v>
      </c>
      <c r="E33">
        <v>2</v>
      </c>
      <c r="F33">
        <v>1076</v>
      </c>
      <c r="G33" s="12">
        <v>351.4</v>
      </c>
      <c r="H33" s="5">
        <v>54.99</v>
      </c>
      <c r="I33" s="5">
        <v>48.6</v>
      </c>
      <c r="J33" s="5">
        <v>20.03</v>
      </c>
      <c r="K33" s="5">
        <f t="shared" si="0"/>
        <v>51.795000000000002</v>
      </c>
      <c r="L33" s="5">
        <f t="shared" si="1"/>
        <v>6.3900000000000006</v>
      </c>
      <c r="M33" s="5">
        <f t="shared" si="2"/>
        <v>31.765000000000001</v>
      </c>
      <c r="N33" s="13">
        <v>2883.92</v>
      </c>
      <c r="O33" s="17">
        <f t="shared" si="6"/>
        <v>5.89822976709219E-5</v>
      </c>
      <c r="P33" s="17">
        <f t="shared" si="3"/>
        <v>1.853290524174702E-3</v>
      </c>
      <c r="Q33" s="11">
        <f t="shared" si="7"/>
        <v>2981.034259549841</v>
      </c>
      <c r="R33" s="15">
        <f t="shared" si="4"/>
        <v>97.114259549840881</v>
      </c>
      <c r="S33" s="16">
        <f t="shared" si="5"/>
        <v>3.2577371172012537</v>
      </c>
      <c r="V33" s="14">
        <v>0.1</v>
      </c>
      <c r="W33" s="9">
        <v>0.9</v>
      </c>
      <c r="X33" s="6">
        <v>800</v>
      </c>
      <c r="AC33" s="5"/>
      <c r="AE33">
        <v>3</v>
      </c>
      <c r="AJ33" s="13">
        <v>2878</v>
      </c>
      <c r="AK33" s="13">
        <v>2878</v>
      </c>
      <c r="AL33" s="10">
        <v>-2.0527615190435444E-3</v>
      </c>
      <c r="AM33" s="1">
        <v>44.400001525878906</v>
      </c>
      <c r="AN33" s="2">
        <v>8</v>
      </c>
      <c r="AO33" s="3">
        <v>4.3499999046325684</v>
      </c>
      <c r="AP33" s="3">
        <v>4.3499999046325684</v>
      </c>
      <c r="AR33" s="1">
        <v>31.765000000000001</v>
      </c>
      <c r="AS33" s="1">
        <v>6.3900000000000006</v>
      </c>
      <c r="AT33" s="1">
        <v>28.57</v>
      </c>
      <c r="CG33">
        <v>350</v>
      </c>
      <c r="CH33" s="13">
        <v>2878</v>
      </c>
      <c r="CI33" s="13">
        <v>2878</v>
      </c>
      <c r="CJ33">
        <v>0</v>
      </c>
      <c r="CK33">
        <v>391</v>
      </c>
      <c r="CL33">
        <v>2.7999999523162842</v>
      </c>
      <c r="CM33" s="1">
        <v>44.400001525878906</v>
      </c>
      <c r="CR33">
        <v>4195.09521484375</v>
      </c>
      <c r="CS33">
        <v>5.3957893442202476E-7</v>
      </c>
      <c r="CT33">
        <v>0.65520387887954712</v>
      </c>
    </row>
    <row r="34" spans="1:98" x14ac:dyDescent="0.3">
      <c r="A34" s="4">
        <v>3.98</v>
      </c>
      <c r="B34" s="6">
        <v>780</v>
      </c>
      <c r="C34" s="5">
        <v>18.350000000000001</v>
      </c>
      <c r="D34">
        <v>1</v>
      </c>
      <c r="E34">
        <v>2</v>
      </c>
      <c r="F34">
        <v>575</v>
      </c>
      <c r="G34" s="12">
        <v>159.69999999999999</v>
      </c>
      <c r="H34" s="5">
        <v>75</v>
      </c>
      <c r="I34" s="5">
        <v>65</v>
      </c>
      <c r="J34" s="5">
        <v>20.010000000000002</v>
      </c>
      <c r="K34" s="5">
        <f t="shared" si="0"/>
        <v>70</v>
      </c>
      <c r="L34" s="5">
        <f t="shared" si="1"/>
        <v>10</v>
      </c>
      <c r="M34" s="5">
        <f t="shared" si="2"/>
        <v>49.989999999999995</v>
      </c>
      <c r="N34" s="13">
        <v>2343.81</v>
      </c>
      <c r="O34" s="17">
        <f t="shared" si="6"/>
        <v>6.0279823807362987E-5</v>
      </c>
      <c r="P34" s="17">
        <f t="shared" si="3"/>
        <v>1.854588050311143E-3</v>
      </c>
      <c r="Q34" s="11">
        <f t="shared" si="7"/>
        <v>2370.5868640296139</v>
      </c>
      <c r="R34" s="15">
        <f t="shared" si="4"/>
        <v>26.776864029613989</v>
      </c>
      <c r="S34" s="16">
        <f t="shared" si="5"/>
        <v>1.1295457861475566</v>
      </c>
      <c r="V34" s="14">
        <v>0.1</v>
      </c>
      <c r="W34" s="9">
        <v>0.9</v>
      </c>
      <c r="X34" s="6">
        <v>800</v>
      </c>
      <c r="AC34" s="5"/>
      <c r="AE34">
        <v>3</v>
      </c>
      <c r="AJ34" s="13">
        <v>2380</v>
      </c>
      <c r="AK34" s="13">
        <v>2380</v>
      </c>
      <c r="AL34" s="10">
        <v>1.5440671385479332E-2</v>
      </c>
      <c r="AM34" s="1">
        <v>64.300003051757813</v>
      </c>
      <c r="AN34" s="2">
        <v>3</v>
      </c>
      <c r="AO34" s="3">
        <v>4.3400001525878906</v>
      </c>
      <c r="AP34" s="3">
        <v>4.3400001525878906</v>
      </c>
      <c r="AR34" s="1">
        <v>49.989999999999995</v>
      </c>
      <c r="AS34" s="1">
        <v>10</v>
      </c>
      <c r="AT34" s="1">
        <v>44.989999999999995</v>
      </c>
      <c r="CG34">
        <v>160</v>
      </c>
      <c r="CH34" s="13">
        <v>2380</v>
      </c>
      <c r="CI34" s="13">
        <v>2380</v>
      </c>
      <c r="CJ34">
        <v>0</v>
      </c>
      <c r="CK34">
        <v>209</v>
      </c>
      <c r="CL34">
        <v>0.80000001192092896</v>
      </c>
      <c r="CM34" s="1">
        <v>64.300003051757813</v>
      </c>
      <c r="CR34">
        <v>4197.6298828125</v>
      </c>
      <c r="CS34">
        <v>4.1583430743230565E-7</v>
      </c>
      <c r="CT34">
        <v>0.67044579982757568</v>
      </c>
    </row>
    <row r="35" spans="1:98" x14ac:dyDescent="0.3">
      <c r="A35" s="4">
        <v>3.98</v>
      </c>
      <c r="B35" s="6">
        <v>780</v>
      </c>
      <c r="C35" s="5">
        <v>18.18</v>
      </c>
      <c r="D35">
        <v>1</v>
      </c>
      <c r="E35">
        <v>2</v>
      </c>
      <c r="F35">
        <v>575</v>
      </c>
      <c r="G35" s="12">
        <v>157.80000000000001</v>
      </c>
      <c r="H35" s="5">
        <v>84.99</v>
      </c>
      <c r="I35" s="5">
        <v>73.459999999999994</v>
      </c>
      <c r="J35" s="5">
        <v>20</v>
      </c>
      <c r="K35" s="5">
        <f t="shared" si="0"/>
        <v>79.224999999999994</v>
      </c>
      <c r="L35" s="5">
        <f t="shared" si="1"/>
        <v>11.530000000000001</v>
      </c>
      <c r="M35" s="5">
        <f t="shared" si="2"/>
        <v>59.224999999999994</v>
      </c>
      <c r="N35" s="13">
        <v>2756.86</v>
      </c>
      <c r="O35" s="17">
        <f t="shared" si="6"/>
        <v>5.9926916848413503E-5</v>
      </c>
      <c r="P35" s="17">
        <f t="shared" si="3"/>
        <v>1.8542351433521935E-3</v>
      </c>
      <c r="Q35" s="11">
        <f t="shared" si="7"/>
        <v>2804.7762584675033</v>
      </c>
      <c r="R35" s="15">
        <f t="shared" si="4"/>
        <v>47.916258467503212</v>
      </c>
      <c r="S35" s="16">
        <f t="shared" si="5"/>
        <v>1.7083807780690519</v>
      </c>
      <c r="V35" s="14">
        <v>0.1</v>
      </c>
      <c r="W35" s="9">
        <v>0.9</v>
      </c>
      <c r="X35" s="6">
        <v>800</v>
      </c>
      <c r="AC35" s="5"/>
      <c r="AE35">
        <v>3</v>
      </c>
      <c r="AJ35" s="13">
        <v>2802</v>
      </c>
      <c r="AK35" s="13">
        <v>2802</v>
      </c>
      <c r="AL35" s="10">
        <v>1.6373700514353162E-2</v>
      </c>
      <c r="AM35" s="1">
        <v>72.699996948242188</v>
      </c>
      <c r="AN35" s="2">
        <v>2</v>
      </c>
      <c r="AO35" s="3">
        <v>4.3400001525878906</v>
      </c>
      <c r="AP35" s="3">
        <v>4.3400001525878906</v>
      </c>
      <c r="AR35" s="1">
        <v>59.224999999999994</v>
      </c>
      <c r="AS35" s="1">
        <v>11.530000000000001</v>
      </c>
      <c r="AT35" s="1">
        <v>53.459999999999994</v>
      </c>
      <c r="CG35">
        <v>160</v>
      </c>
      <c r="CH35" s="13">
        <v>2802</v>
      </c>
      <c r="CI35" s="13">
        <v>2802</v>
      </c>
      <c r="CJ35">
        <v>0</v>
      </c>
      <c r="CK35">
        <v>214</v>
      </c>
      <c r="CL35">
        <v>0.89999997615814209</v>
      </c>
      <c r="CM35" s="1">
        <v>72.699996948242188</v>
      </c>
      <c r="CR35">
        <v>4200.34619140625</v>
      </c>
      <c r="CS35">
        <v>3.6630447652896692E-7</v>
      </c>
      <c r="CT35">
        <v>0.67546713352203369</v>
      </c>
    </row>
    <row r="36" spans="1:98" x14ac:dyDescent="0.3">
      <c r="A36" s="4">
        <v>3.98</v>
      </c>
      <c r="B36" s="6">
        <v>780</v>
      </c>
      <c r="C36" s="5">
        <v>18.71</v>
      </c>
      <c r="D36">
        <v>1</v>
      </c>
      <c r="E36">
        <v>2</v>
      </c>
      <c r="F36">
        <v>574</v>
      </c>
      <c r="G36" s="12">
        <v>162.9</v>
      </c>
      <c r="H36" s="5">
        <v>54.98</v>
      </c>
      <c r="I36" s="5">
        <v>48.6</v>
      </c>
      <c r="J36" s="5">
        <v>19.97</v>
      </c>
      <c r="K36" s="5">
        <f t="shared" si="0"/>
        <v>51.79</v>
      </c>
      <c r="L36" s="5">
        <f t="shared" si="1"/>
        <v>6.3799999999999955</v>
      </c>
      <c r="M36" s="5">
        <f t="shared" si="2"/>
        <v>31.82</v>
      </c>
      <c r="N36" s="13">
        <v>1520.39</v>
      </c>
      <c r="O36" s="17">
        <f t="shared" si="6"/>
        <v>6.0619702368594522E-5</v>
      </c>
      <c r="P36" s="17">
        <f t="shared" ref="P36:P67" si="8">O36+L36^$U$1*$R$1</f>
        <v>1.8549279288723746E-3</v>
      </c>
      <c r="Q36" s="11">
        <f t="shared" si="7"/>
        <v>1529.137889920225</v>
      </c>
      <c r="R36" s="15">
        <f t="shared" si="4"/>
        <v>8.7478899202249067</v>
      </c>
      <c r="S36" s="16">
        <f t="shared" si="5"/>
        <v>0.57207986133162025</v>
      </c>
      <c r="V36" s="14">
        <v>0.1</v>
      </c>
      <c r="W36" s="9">
        <v>0.9</v>
      </c>
      <c r="X36" s="6">
        <v>800</v>
      </c>
      <c r="AC36" s="5"/>
      <c r="AE36">
        <v>3</v>
      </c>
      <c r="AJ36" s="13">
        <v>1530</v>
      </c>
      <c r="AK36" s="13">
        <v>1530</v>
      </c>
      <c r="AL36" s="10">
        <v>6.3207466505303955E-3</v>
      </c>
      <c r="AM36" s="1">
        <v>47.900001525878906</v>
      </c>
      <c r="AN36" s="2">
        <v>6</v>
      </c>
      <c r="AO36" s="3">
        <v>4.3299999237060547</v>
      </c>
      <c r="AP36" s="3">
        <v>4.3299999237060547</v>
      </c>
      <c r="AR36" s="1">
        <v>31.82</v>
      </c>
      <c r="AS36" s="1">
        <v>6.3799999999999955</v>
      </c>
      <c r="AT36" s="1">
        <v>28.630000000000003</v>
      </c>
      <c r="CG36">
        <v>165</v>
      </c>
      <c r="CH36" s="13">
        <v>1530</v>
      </c>
      <c r="CI36" s="13">
        <v>1530</v>
      </c>
      <c r="CJ36">
        <v>0</v>
      </c>
      <c r="CK36">
        <v>208</v>
      </c>
      <c r="CL36">
        <v>0.89999997615814209</v>
      </c>
      <c r="CM36" s="1">
        <v>47.900001525878906</v>
      </c>
      <c r="CR36">
        <v>4195.09521484375</v>
      </c>
      <c r="CS36">
        <v>5.3961946377967251E-7</v>
      </c>
      <c r="CT36">
        <v>0.65519893169403076</v>
      </c>
    </row>
    <row r="37" spans="1:98" x14ac:dyDescent="0.3">
      <c r="A37" s="4">
        <v>4.97</v>
      </c>
      <c r="B37" s="6">
        <v>780</v>
      </c>
      <c r="C37" s="5">
        <v>18.07</v>
      </c>
      <c r="D37">
        <v>1</v>
      </c>
      <c r="E37">
        <v>2</v>
      </c>
      <c r="F37">
        <v>663</v>
      </c>
      <c r="G37" s="12">
        <v>192</v>
      </c>
      <c r="H37" s="5">
        <v>75</v>
      </c>
      <c r="I37" s="5">
        <v>64.95</v>
      </c>
      <c r="J37" s="5">
        <v>20.02</v>
      </c>
      <c r="K37" s="5">
        <f t="shared" si="0"/>
        <v>69.974999999999994</v>
      </c>
      <c r="L37" s="5">
        <f t="shared" si="1"/>
        <v>10.049999999999997</v>
      </c>
      <c r="M37" s="5">
        <f t="shared" si="2"/>
        <v>49.954999999999998</v>
      </c>
      <c r="N37" s="13">
        <v>2754.55</v>
      </c>
      <c r="O37" s="17">
        <f t="shared" si="6"/>
        <v>6.0965185046421013E-5</v>
      </c>
      <c r="P37" s="17">
        <f t="shared" si="8"/>
        <v>1.855273411550201E-3</v>
      </c>
      <c r="Q37" s="11">
        <f t="shared" si="7"/>
        <v>2754.6993628888613</v>
      </c>
      <c r="R37" s="15">
        <f t="shared" si="4"/>
        <v>0.1493628888611056</v>
      </c>
      <c r="S37" s="16">
        <f t="shared" si="5"/>
        <v>5.4221121503661429E-3</v>
      </c>
      <c r="V37" s="14">
        <v>0.1</v>
      </c>
      <c r="W37" s="9">
        <v>0.9</v>
      </c>
      <c r="X37" s="6">
        <v>800</v>
      </c>
      <c r="AC37" s="5"/>
      <c r="AE37">
        <v>3</v>
      </c>
      <c r="AJ37" s="13">
        <v>2775</v>
      </c>
      <c r="AK37" s="13">
        <v>2775</v>
      </c>
      <c r="AL37" s="10">
        <v>7.4240801582834415E-3</v>
      </c>
      <c r="AM37" s="1">
        <v>62.900001525878906</v>
      </c>
      <c r="AN37" s="2">
        <v>3</v>
      </c>
      <c r="AO37" s="3">
        <v>4.3400001525878906</v>
      </c>
      <c r="AP37" s="3">
        <v>4.3400001525878906</v>
      </c>
      <c r="AR37" s="1">
        <v>49.954999999999998</v>
      </c>
      <c r="AS37" s="1">
        <v>10.049999999999997</v>
      </c>
      <c r="AT37" s="1">
        <v>44.93</v>
      </c>
      <c r="CG37">
        <v>190</v>
      </c>
      <c r="CH37" s="13">
        <v>2775</v>
      </c>
      <c r="CI37" s="13">
        <v>2775</v>
      </c>
      <c r="CJ37">
        <v>0</v>
      </c>
      <c r="CK37">
        <v>242</v>
      </c>
      <c r="CL37">
        <v>1.1000000238418579</v>
      </c>
      <c r="CM37" s="1">
        <v>62.900001525878906</v>
      </c>
      <c r="CR37">
        <v>4197.6240234375</v>
      </c>
      <c r="CS37">
        <v>4.1597994027142704E-7</v>
      </c>
      <c r="CT37">
        <v>0.67042934894561768</v>
      </c>
    </row>
    <row r="38" spans="1:98" x14ac:dyDescent="0.3">
      <c r="A38" s="4">
        <v>4.97</v>
      </c>
      <c r="B38" s="6">
        <v>780</v>
      </c>
      <c r="C38" s="5">
        <v>17.79</v>
      </c>
      <c r="D38">
        <v>1</v>
      </c>
      <c r="E38">
        <v>2</v>
      </c>
      <c r="F38">
        <v>663</v>
      </c>
      <c r="G38" s="12">
        <v>189.8</v>
      </c>
      <c r="H38" s="5">
        <v>84.92</v>
      </c>
      <c r="I38" s="5">
        <v>73.12</v>
      </c>
      <c r="J38" s="5">
        <v>19.97</v>
      </c>
      <c r="K38" s="5">
        <f t="shared" si="0"/>
        <v>79.02000000000001</v>
      </c>
      <c r="L38" s="5">
        <f t="shared" si="1"/>
        <v>11.799999999999997</v>
      </c>
      <c r="M38" s="5">
        <f t="shared" si="2"/>
        <v>59.050000000000011</v>
      </c>
      <c r="N38" s="13">
        <v>3237.44</v>
      </c>
      <c r="O38" s="17">
        <f t="shared" si="6"/>
        <v>6.089836117858846E-5</v>
      </c>
      <c r="P38" s="17">
        <f t="shared" si="8"/>
        <v>1.8552065876823686E-3</v>
      </c>
      <c r="Q38" s="11">
        <f t="shared" si="7"/>
        <v>3241.1681877955316</v>
      </c>
      <c r="R38" s="15">
        <f t="shared" si="4"/>
        <v>3.7281877955315395</v>
      </c>
      <c r="S38" s="16">
        <f t="shared" si="5"/>
        <v>0.11502605170474745</v>
      </c>
      <c r="V38" s="14">
        <v>0.1</v>
      </c>
      <c r="W38" s="9">
        <v>0.9</v>
      </c>
      <c r="X38" s="6">
        <v>800</v>
      </c>
      <c r="AC38" s="5"/>
      <c r="AE38">
        <v>3</v>
      </c>
      <c r="AJ38" s="13">
        <v>3261</v>
      </c>
      <c r="AK38" s="13">
        <v>3261</v>
      </c>
      <c r="AL38" s="10">
        <v>7.2773549471187859E-3</v>
      </c>
      <c r="AM38" s="1">
        <v>71</v>
      </c>
      <c r="AN38" s="2">
        <v>2</v>
      </c>
      <c r="AO38" s="3">
        <v>4.3299999237060547</v>
      </c>
      <c r="AP38" s="3">
        <v>4.3299999237060547</v>
      </c>
      <c r="AR38" s="1">
        <v>59.050000000000011</v>
      </c>
      <c r="AS38" s="1">
        <v>11.799999999999997</v>
      </c>
      <c r="AT38" s="1">
        <v>53.150000000000013</v>
      </c>
      <c r="CG38">
        <v>190</v>
      </c>
      <c r="CH38" s="13">
        <v>3261</v>
      </c>
      <c r="CI38" s="13">
        <v>3261</v>
      </c>
      <c r="CJ38">
        <v>0</v>
      </c>
      <c r="CK38">
        <v>243</v>
      </c>
      <c r="CL38">
        <v>1.1000000238418579</v>
      </c>
      <c r="CM38" s="1">
        <v>71</v>
      </c>
      <c r="CR38">
        <v>4200.271484375</v>
      </c>
      <c r="CS38">
        <v>3.6730193642142694E-7</v>
      </c>
      <c r="CT38">
        <v>0.6753801703453064</v>
      </c>
    </row>
    <row r="39" spans="1:98" x14ac:dyDescent="0.3">
      <c r="A39" s="4">
        <v>4.97</v>
      </c>
      <c r="B39" s="6">
        <v>780</v>
      </c>
      <c r="C39" s="5">
        <v>18.510000000000002</v>
      </c>
      <c r="D39">
        <v>1</v>
      </c>
      <c r="E39">
        <v>2</v>
      </c>
      <c r="F39">
        <v>662</v>
      </c>
      <c r="G39" s="12">
        <v>196</v>
      </c>
      <c r="H39" s="5">
        <v>54.98</v>
      </c>
      <c r="I39" s="5">
        <v>48.47</v>
      </c>
      <c r="J39" s="5">
        <v>19.96</v>
      </c>
      <c r="K39" s="5">
        <f t="shared" si="0"/>
        <v>51.724999999999994</v>
      </c>
      <c r="L39" s="5">
        <f t="shared" si="1"/>
        <v>6.509999999999998</v>
      </c>
      <c r="M39" s="5">
        <f t="shared" si="2"/>
        <v>31.764999999999993</v>
      </c>
      <c r="N39" s="13">
        <v>1779.39</v>
      </c>
      <c r="O39" s="17">
        <f t="shared" si="6"/>
        <v>6.1263499305512679E-5</v>
      </c>
      <c r="P39" s="17">
        <f t="shared" si="8"/>
        <v>1.8555717258092927E-3</v>
      </c>
      <c r="Q39" s="11">
        <f t="shared" si="7"/>
        <v>1770.8215188709039</v>
      </c>
      <c r="R39" s="15">
        <f t="shared" si="4"/>
        <v>8.5684811290961989</v>
      </c>
      <c r="S39" s="16">
        <f t="shared" si="5"/>
        <v>0.48387039787949337</v>
      </c>
      <c r="V39" s="14">
        <v>0.1</v>
      </c>
      <c r="W39" s="9">
        <v>0.9</v>
      </c>
      <c r="X39" s="6">
        <v>800</v>
      </c>
      <c r="AC39" s="5"/>
      <c r="AE39">
        <v>3</v>
      </c>
      <c r="AJ39" s="13">
        <v>1780</v>
      </c>
      <c r="AK39" s="13">
        <v>1780</v>
      </c>
      <c r="AL39" s="10">
        <v>3.4281411045355981E-4</v>
      </c>
      <c r="AM39" s="1">
        <v>46.900001525878906</v>
      </c>
      <c r="AN39" s="2">
        <v>7</v>
      </c>
      <c r="AO39" s="3">
        <v>4.3299999237060547</v>
      </c>
      <c r="AP39" s="3">
        <v>4.3299999237060547</v>
      </c>
      <c r="AR39" s="1">
        <v>31.764999999999993</v>
      </c>
      <c r="AS39" s="1">
        <v>6.509999999999998</v>
      </c>
      <c r="AT39" s="1">
        <v>28.509999999999994</v>
      </c>
      <c r="CG39">
        <v>195</v>
      </c>
      <c r="CH39" s="13">
        <v>1780</v>
      </c>
      <c r="CI39" s="13">
        <v>1780</v>
      </c>
      <c r="CJ39">
        <v>0</v>
      </c>
      <c r="CK39">
        <v>237</v>
      </c>
      <c r="CL39">
        <v>1.1000000238418579</v>
      </c>
      <c r="CM39" s="1">
        <v>46.900001525878906</v>
      </c>
      <c r="CR39">
        <v>4195.09033203125</v>
      </c>
      <c r="CS39">
        <v>5.4014753914088942E-7</v>
      </c>
      <c r="CT39">
        <v>0.65513432025909424</v>
      </c>
    </row>
    <row r="40" spans="1:98" x14ac:dyDescent="0.3">
      <c r="A40" s="4">
        <v>2.98</v>
      </c>
      <c r="B40" s="6">
        <v>780</v>
      </c>
      <c r="C40" s="5">
        <v>18.579999999999998</v>
      </c>
      <c r="D40">
        <v>1</v>
      </c>
      <c r="E40">
        <v>2</v>
      </c>
      <c r="F40">
        <v>480</v>
      </c>
      <c r="G40" s="12">
        <v>124.8</v>
      </c>
      <c r="H40" s="5">
        <v>74.94</v>
      </c>
      <c r="I40" s="5">
        <v>64.930000000000007</v>
      </c>
      <c r="J40" s="5">
        <v>20</v>
      </c>
      <c r="K40" s="5">
        <f t="shared" si="0"/>
        <v>69.935000000000002</v>
      </c>
      <c r="L40" s="5">
        <f t="shared" si="1"/>
        <v>10.009999999999991</v>
      </c>
      <c r="M40" s="5">
        <f t="shared" si="2"/>
        <v>49.935000000000002</v>
      </c>
      <c r="N40" s="13">
        <v>1939.89</v>
      </c>
      <c r="O40" s="17">
        <f t="shared" si="6"/>
        <v>6.0566671190055726E-5</v>
      </c>
      <c r="P40" s="17">
        <f t="shared" si="8"/>
        <v>1.8548748976938358E-3</v>
      </c>
      <c r="Q40" s="11">
        <f t="shared" si="7"/>
        <v>1952.7598817183418</v>
      </c>
      <c r="R40" s="15">
        <f t="shared" si="4"/>
        <v>12.86988171834173</v>
      </c>
      <c r="S40" s="16">
        <f t="shared" si="5"/>
        <v>0.65906114923954817</v>
      </c>
      <c r="V40" s="14">
        <v>0.1</v>
      </c>
      <c r="W40" s="9">
        <v>0.9</v>
      </c>
      <c r="X40" s="6">
        <v>800</v>
      </c>
      <c r="AC40" s="5"/>
      <c r="AE40">
        <v>3</v>
      </c>
      <c r="AJ40" s="13">
        <v>1908</v>
      </c>
      <c r="AK40" s="13">
        <v>1908</v>
      </c>
      <c r="AL40" s="10">
        <v>-1.6439076442478773E-2</v>
      </c>
      <c r="AM40" s="1">
        <v>65.400001525878906</v>
      </c>
      <c r="AN40" s="2">
        <v>3</v>
      </c>
      <c r="AO40" s="3">
        <v>4.3400001525878906</v>
      </c>
      <c r="AP40" s="3">
        <v>4.3400001525878906</v>
      </c>
      <c r="AR40" s="1">
        <v>49.935000000000002</v>
      </c>
      <c r="AS40" s="1">
        <v>10.009999999999991</v>
      </c>
      <c r="AT40" s="1">
        <v>44.930000000000007</v>
      </c>
      <c r="CG40">
        <v>125</v>
      </c>
      <c r="CH40" s="13">
        <v>1908</v>
      </c>
      <c r="CI40" s="13">
        <v>1908</v>
      </c>
      <c r="CJ40">
        <v>0</v>
      </c>
      <c r="CK40">
        <v>167</v>
      </c>
      <c r="CL40">
        <v>0.60000002384185791</v>
      </c>
      <c r="CM40" s="1">
        <v>65.400001525878906</v>
      </c>
      <c r="CR40">
        <v>4197.61474609375</v>
      </c>
      <c r="CS40">
        <v>4.1621305513217521E-7</v>
      </c>
      <c r="CT40">
        <v>0.67040300369262695</v>
      </c>
    </row>
    <row r="41" spans="1:98" x14ac:dyDescent="0.3">
      <c r="A41" s="4">
        <v>2.98</v>
      </c>
      <c r="B41" s="6">
        <v>780</v>
      </c>
      <c r="C41" s="5">
        <v>18.440000000000001</v>
      </c>
      <c r="D41">
        <v>1</v>
      </c>
      <c r="E41">
        <v>2</v>
      </c>
      <c r="F41">
        <v>480</v>
      </c>
      <c r="G41" s="12">
        <v>123.4</v>
      </c>
      <c r="H41" s="5">
        <v>84.92</v>
      </c>
      <c r="I41" s="5">
        <v>73.33</v>
      </c>
      <c r="J41" s="5">
        <v>19.989999999999998</v>
      </c>
      <c r="K41" s="5">
        <f t="shared" si="0"/>
        <v>79.125</v>
      </c>
      <c r="L41" s="5">
        <f t="shared" si="1"/>
        <v>11.590000000000003</v>
      </c>
      <c r="M41" s="5">
        <f t="shared" si="2"/>
        <v>59.135000000000005</v>
      </c>
      <c r="N41" s="13">
        <v>2274.41</v>
      </c>
      <c r="O41" s="17">
        <f t="shared" si="6"/>
        <v>6.0088388352869832E-5</v>
      </c>
      <c r="P41" s="17">
        <f t="shared" si="8"/>
        <v>1.8543966148566499E-3</v>
      </c>
      <c r="Q41" s="11">
        <f t="shared" si="7"/>
        <v>2307.7228233527985</v>
      </c>
      <c r="R41" s="15">
        <f t="shared" si="4"/>
        <v>33.312823352798659</v>
      </c>
      <c r="S41" s="16">
        <f t="shared" si="5"/>
        <v>1.4435365900831942</v>
      </c>
      <c r="V41" s="14">
        <v>0.1</v>
      </c>
      <c r="W41" s="9">
        <v>0.9</v>
      </c>
      <c r="X41" s="6">
        <v>800</v>
      </c>
      <c r="AC41" s="5"/>
      <c r="AE41">
        <v>3</v>
      </c>
      <c r="AJ41" s="13">
        <v>2244</v>
      </c>
      <c r="AK41" s="13">
        <v>2244</v>
      </c>
      <c r="AL41" s="10">
        <v>-1.3370500481443504E-2</v>
      </c>
      <c r="AM41" s="1">
        <v>74</v>
      </c>
      <c r="AN41" s="2">
        <v>2</v>
      </c>
      <c r="AO41" s="3">
        <v>4.3299999237060547</v>
      </c>
      <c r="AP41" s="3">
        <v>4.3299999237060547</v>
      </c>
      <c r="AR41" s="1">
        <v>59.135000000000005</v>
      </c>
      <c r="AS41" s="1">
        <v>11.590000000000003</v>
      </c>
      <c r="AT41" s="1">
        <v>53.34</v>
      </c>
      <c r="CG41">
        <v>125</v>
      </c>
      <c r="CH41" s="13">
        <v>2244</v>
      </c>
      <c r="CI41" s="13">
        <v>2244</v>
      </c>
      <c r="CJ41">
        <v>0</v>
      </c>
      <c r="CK41">
        <v>171</v>
      </c>
      <c r="CL41">
        <v>0.60000002384185791</v>
      </c>
      <c r="CM41" s="1">
        <v>74</v>
      </c>
      <c r="CR41">
        <v>4200.3095703125</v>
      </c>
      <c r="CS41">
        <v>3.667903740733891E-7</v>
      </c>
      <c r="CT41">
        <v>0.67542487382888794</v>
      </c>
    </row>
    <row r="42" spans="1:98" x14ac:dyDescent="0.3">
      <c r="A42" s="4">
        <v>2.98</v>
      </c>
      <c r="B42" s="6">
        <v>780</v>
      </c>
      <c r="C42" s="5">
        <v>18.829999999999998</v>
      </c>
      <c r="D42">
        <v>1</v>
      </c>
      <c r="E42">
        <v>2</v>
      </c>
      <c r="F42">
        <v>480</v>
      </c>
      <c r="G42" s="12">
        <v>127.6</v>
      </c>
      <c r="H42" s="5">
        <v>54.98</v>
      </c>
      <c r="I42" s="5">
        <v>48.53</v>
      </c>
      <c r="J42" s="5">
        <v>19.96</v>
      </c>
      <c r="K42" s="5">
        <f t="shared" si="0"/>
        <v>51.754999999999995</v>
      </c>
      <c r="L42" s="5">
        <f t="shared" si="1"/>
        <v>6.4499999999999957</v>
      </c>
      <c r="M42" s="5">
        <f t="shared" si="2"/>
        <v>31.794999999999995</v>
      </c>
      <c r="N42" s="13">
        <v>1260.42</v>
      </c>
      <c r="O42" s="17">
        <f t="shared" si="6"/>
        <v>6.0972389378176862E-5</v>
      </c>
      <c r="P42" s="17">
        <f t="shared" si="8"/>
        <v>1.8552806158819569E-3</v>
      </c>
      <c r="Q42" s="11">
        <f t="shared" si="7"/>
        <v>1260.3394092159006</v>
      </c>
      <c r="R42" s="15">
        <f t="shared" si="4"/>
        <v>8.0590784099513257E-2</v>
      </c>
      <c r="S42" s="16">
        <f t="shared" si="5"/>
        <v>6.3943715089997966E-3</v>
      </c>
      <c r="V42" s="14">
        <v>0.1</v>
      </c>
      <c r="W42" s="9">
        <v>0.9</v>
      </c>
      <c r="X42" s="6">
        <v>800</v>
      </c>
      <c r="AC42" s="5"/>
      <c r="AE42">
        <v>3</v>
      </c>
      <c r="AJ42" s="13">
        <v>1231</v>
      </c>
      <c r="AK42" s="13">
        <v>1231</v>
      </c>
      <c r="AL42" s="10">
        <v>-2.3341425873915078E-2</v>
      </c>
      <c r="AM42" s="1">
        <v>48.599998474121094</v>
      </c>
      <c r="AN42" s="2">
        <v>6</v>
      </c>
      <c r="AO42" s="3">
        <v>4.3299999237060547</v>
      </c>
      <c r="AP42" s="3">
        <v>4.3299999237060547</v>
      </c>
      <c r="AR42" s="1">
        <v>31.794999999999995</v>
      </c>
      <c r="AS42" s="1">
        <v>6.4499999999999957</v>
      </c>
      <c r="AT42" s="1">
        <v>28.569999999999997</v>
      </c>
      <c r="CG42">
        <v>130</v>
      </c>
      <c r="CH42" s="13">
        <v>1231</v>
      </c>
      <c r="CI42" s="13">
        <v>1231</v>
      </c>
      <c r="CJ42">
        <v>0</v>
      </c>
      <c r="CK42">
        <v>166</v>
      </c>
      <c r="CL42">
        <v>0.60000002384185791</v>
      </c>
      <c r="CM42" s="1">
        <v>48.599998474121094</v>
      </c>
      <c r="CR42">
        <v>4195.09228515625</v>
      </c>
      <c r="CS42">
        <v>5.3990373771739542E-7</v>
      </c>
      <c r="CT42">
        <v>0.65516418218612671</v>
      </c>
    </row>
    <row r="43" spans="1:98" x14ac:dyDescent="0.3">
      <c r="A43" s="4">
        <v>1.98</v>
      </c>
      <c r="B43" s="6">
        <v>780</v>
      </c>
      <c r="C43" s="5">
        <v>18.809999999999999</v>
      </c>
      <c r="D43">
        <v>1</v>
      </c>
      <c r="E43">
        <v>2</v>
      </c>
      <c r="F43">
        <v>399</v>
      </c>
      <c r="G43" s="12">
        <v>95.1</v>
      </c>
      <c r="H43" s="5">
        <v>75</v>
      </c>
      <c r="I43" s="5">
        <v>64.87</v>
      </c>
      <c r="J43" s="5">
        <v>20.010000000000002</v>
      </c>
      <c r="K43" s="5">
        <f t="shared" si="0"/>
        <v>69.935000000000002</v>
      </c>
      <c r="L43" s="5">
        <f t="shared" si="1"/>
        <v>10.129999999999995</v>
      </c>
      <c r="M43" s="5">
        <f t="shared" si="2"/>
        <v>49.924999999999997</v>
      </c>
      <c r="N43" s="13">
        <v>1529.22</v>
      </c>
      <c r="O43" s="17">
        <f t="shared" si="6"/>
        <v>5.826920056834767E-5</v>
      </c>
      <c r="P43" s="17">
        <f t="shared" si="8"/>
        <v>1.8525774270721277E-3</v>
      </c>
      <c r="Q43" s="11">
        <f t="shared" si="7"/>
        <v>1600.060317150587</v>
      </c>
      <c r="R43" s="15">
        <f t="shared" si="4"/>
        <v>70.840317150586998</v>
      </c>
      <c r="S43" s="16">
        <f t="shared" si="5"/>
        <v>4.4273529185912537</v>
      </c>
      <c r="V43" s="14">
        <v>0.1</v>
      </c>
      <c r="W43" s="9">
        <v>0.9</v>
      </c>
      <c r="X43" s="6">
        <v>800</v>
      </c>
      <c r="AC43" s="5"/>
      <c r="AE43">
        <v>3</v>
      </c>
      <c r="AJ43" s="13">
        <v>1486</v>
      </c>
      <c r="AK43" s="13">
        <v>1486</v>
      </c>
      <c r="AL43" s="10">
        <v>-2.8262774486339404E-2</v>
      </c>
      <c r="AM43" s="1">
        <v>66.400001525878906</v>
      </c>
      <c r="AN43" s="2">
        <v>3</v>
      </c>
      <c r="AO43" s="3">
        <v>4.3400001525878906</v>
      </c>
      <c r="AP43" s="3">
        <v>4.3400001525878906</v>
      </c>
      <c r="AR43" s="1">
        <v>49.924999999999997</v>
      </c>
      <c r="AS43" s="1">
        <v>10.129999999999995</v>
      </c>
      <c r="AT43" s="1">
        <v>44.86</v>
      </c>
      <c r="CG43">
        <v>95</v>
      </c>
      <c r="CH43" s="13">
        <v>1486</v>
      </c>
      <c r="CI43" s="13">
        <v>1486</v>
      </c>
      <c r="CJ43">
        <v>0</v>
      </c>
      <c r="CK43">
        <v>129</v>
      </c>
      <c r="CL43">
        <v>0.40000000596046448</v>
      </c>
      <c r="CM43" s="1">
        <v>66.400001525878906</v>
      </c>
      <c r="CR43">
        <v>4197.61474609375</v>
      </c>
      <c r="CS43">
        <v>4.1621305513217521E-7</v>
      </c>
      <c r="CT43">
        <v>0.67040300369262695</v>
      </c>
    </row>
    <row r="44" spans="1:98" x14ac:dyDescent="0.3">
      <c r="A44" s="4">
        <v>1.98</v>
      </c>
      <c r="B44" s="6">
        <v>780</v>
      </c>
      <c r="C44" s="5">
        <v>18.7</v>
      </c>
      <c r="D44">
        <v>1</v>
      </c>
      <c r="E44">
        <v>2</v>
      </c>
      <c r="F44">
        <v>400</v>
      </c>
      <c r="G44" s="12">
        <v>94.4</v>
      </c>
      <c r="H44" s="5">
        <v>84.89</v>
      </c>
      <c r="I44" s="5">
        <v>73.069999999999993</v>
      </c>
      <c r="J44" s="5">
        <v>20.02</v>
      </c>
      <c r="K44" s="5">
        <f t="shared" si="0"/>
        <v>78.97999999999999</v>
      </c>
      <c r="L44" s="5">
        <f t="shared" si="1"/>
        <v>11.820000000000007</v>
      </c>
      <c r="M44" s="5">
        <f t="shared" si="2"/>
        <v>58.959999999999994</v>
      </c>
      <c r="N44" s="13">
        <v>1794.41</v>
      </c>
      <c r="O44" s="17">
        <f t="shared" si="6"/>
        <v>5.795763755706764E-5</v>
      </c>
      <c r="P44" s="17">
        <f t="shared" si="8"/>
        <v>1.8522658640608477E-3</v>
      </c>
      <c r="Q44" s="11">
        <f t="shared" si="7"/>
        <v>1887.6281752516934</v>
      </c>
      <c r="R44" s="15">
        <f t="shared" si="4"/>
        <v>93.21817525169331</v>
      </c>
      <c r="S44" s="16">
        <f t="shared" si="5"/>
        <v>4.9383759192545345</v>
      </c>
      <c r="V44" s="14">
        <v>0.1</v>
      </c>
      <c r="W44" s="9">
        <v>0.9</v>
      </c>
      <c r="X44" s="6">
        <v>800</v>
      </c>
      <c r="AC44" s="5"/>
      <c r="AE44">
        <v>3</v>
      </c>
      <c r="AJ44" s="13">
        <v>1748</v>
      </c>
      <c r="AK44" s="13">
        <v>1748</v>
      </c>
      <c r="AL44" s="10">
        <v>-2.5863654348783238E-2</v>
      </c>
      <c r="AM44" s="1">
        <v>75</v>
      </c>
      <c r="AN44" s="2">
        <v>2</v>
      </c>
      <c r="AO44" s="3">
        <v>4.3400001525878906</v>
      </c>
      <c r="AP44" s="3">
        <v>4.3400001525878906</v>
      </c>
      <c r="AR44" s="1">
        <v>58.959999999999994</v>
      </c>
      <c r="AS44" s="1">
        <v>11.820000000000007</v>
      </c>
      <c r="AT44" s="1">
        <v>53.04999999999999</v>
      </c>
      <c r="CG44">
        <v>95</v>
      </c>
      <c r="CH44" s="13">
        <v>1748</v>
      </c>
      <c r="CI44" s="13">
        <v>1748</v>
      </c>
      <c r="CJ44">
        <v>0</v>
      </c>
      <c r="CK44">
        <v>130</v>
      </c>
      <c r="CL44">
        <v>0.40000000596046448</v>
      </c>
      <c r="CM44" s="1">
        <v>75</v>
      </c>
      <c r="CR44">
        <v>4200.2568359375</v>
      </c>
      <c r="CS44">
        <v>3.6749722198692325E-7</v>
      </c>
      <c r="CT44">
        <v>0.67536300420761108</v>
      </c>
    </row>
    <row r="45" spans="1:98" x14ac:dyDescent="0.3">
      <c r="A45" s="4">
        <v>1.98</v>
      </c>
      <c r="B45" s="6">
        <v>780</v>
      </c>
      <c r="C45" s="5">
        <v>19.09</v>
      </c>
      <c r="D45">
        <v>1</v>
      </c>
      <c r="E45">
        <v>2</v>
      </c>
      <c r="F45">
        <v>399</v>
      </c>
      <c r="G45" s="12">
        <v>97.2</v>
      </c>
      <c r="H45" s="5">
        <v>54.98</v>
      </c>
      <c r="I45" s="5">
        <v>48.46</v>
      </c>
      <c r="J45" s="5">
        <v>19.93</v>
      </c>
      <c r="K45" s="5">
        <f t="shared" si="0"/>
        <v>51.72</v>
      </c>
      <c r="L45" s="5">
        <f t="shared" si="1"/>
        <v>6.519999999999996</v>
      </c>
      <c r="M45" s="5">
        <f t="shared" si="2"/>
        <v>31.79</v>
      </c>
      <c r="N45" s="13">
        <v>986.54</v>
      </c>
      <c r="O45" s="17">
        <f t="shared" si="6"/>
        <v>5.8229532311406686E-5</v>
      </c>
      <c r="P45" s="17">
        <f t="shared" si="8"/>
        <v>1.8525377588151867E-3</v>
      </c>
      <c r="Q45" s="11">
        <f t="shared" si="7"/>
        <v>1032.9441531177229</v>
      </c>
      <c r="R45" s="15">
        <f t="shared" si="4"/>
        <v>46.404153117722899</v>
      </c>
      <c r="S45" s="16">
        <f t="shared" si="5"/>
        <v>4.4924164561715996</v>
      </c>
      <c r="V45" s="14">
        <v>0.1</v>
      </c>
      <c r="W45" s="9">
        <v>0.9</v>
      </c>
      <c r="X45" s="6">
        <v>800</v>
      </c>
      <c r="AC45" s="5"/>
      <c r="AE45">
        <v>3</v>
      </c>
      <c r="AJ45" s="13">
        <v>960</v>
      </c>
      <c r="AK45" s="13">
        <v>960</v>
      </c>
      <c r="AL45" s="10">
        <v>-2.6902102296916475E-2</v>
      </c>
      <c r="AM45" s="1">
        <v>49.200000762939453</v>
      </c>
      <c r="AN45" s="2">
        <v>6</v>
      </c>
      <c r="AO45" s="3">
        <v>4.320000171661377</v>
      </c>
      <c r="AP45" s="3">
        <v>4.320000171661377</v>
      </c>
      <c r="AR45" s="1">
        <v>31.79</v>
      </c>
      <c r="AS45" s="1">
        <v>6.519999999999996</v>
      </c>
      <c r="AT45" s="1">
        <v>28.53</v>
      </c>
      <c r="CG45">
        <v>95</v>
      </c>
      <c r="CH45" s="13">
        <v>960</v>
      </c>
      <c r="CI45" s="13">
        <v>960</v>
      </c>
      <c r="CJ45">
        <v>0</v>
      </c>
      <c r="CK45">
        <v>128</v>
      </c>
      <c r="CL45">
        <v>0.40000000596046448</v>
      </c>
      <c r="CM45" s="1">
        <v>49.200000762939453</v>
      </c>
      <c r="CR45">
        <v>4195.08984375</v>
      </c>
      <c r="CS45">
        <v>5.401881821853749E-7</v>
      </c>
      <c r="CT45">
        <v>0.65512937307357788</v>
      </c>
    </row>
    <row r="46" spans="1:98" x14ac:dyDescent="0.3">
      <c r="A46" s="4">
        <v>3.98</v>
      </c>
      <c r="B46" s="6">
        <v>780</v>
      </c>
      <c r="C46" s="5">
        <v>19.04</v>
      </c>
      <c r="D46">
        <v>1</v>
      </c>
      <c r="E46">
        <v>2</v>
      </c>
      <c r="F46">
        <v>574</v>
      </c>
      <c r="G46" s="12">
        <v>161.30000000000001</v>
      </c>
      <c r="H46" s="5">
        <v>80</v>
      </c>
      <c r="I46" s="5">
        <v>40.1</v>
      </c>
      <c r="J46" s="5">
        <v>20.07</v>
      </c>
      <c r="K46" s="5">
        <f t="shared" si="0"/>
        <v>60.05</v>
      </c>
      <c r="L46" s="5">
        <f t="shared" si="1"/>
        <v>39.9</v>
      </c>
      <c r="M46" s="5">
        <f t="shared" si="2"/>
        <v>39.979999999999997</v>
      </c>
      <c r="N46" s="13">
        <v>1376.12</v>
      </c>
      <c r="O46" s="17">
        <f t="shared" si="6"/>
        <v>5.740464509974544E-5</v>
      </c>
      <c r="P46" s="17">
        <f t="shared" si="8"/>
        <v>1.8517128716035254E-3</v>
      </c>
      <c r="Q46" s="11">
        <f t="shared" si="7"/>
        <v>1461.5534936275799</v>
      </c>
      <c r="R46" s="15">
        <f t="shared" si="4"/>
        <v>85.433493627579992</v>
      </c>
      <c r="S46" s="16">
        <f t="shared" si="5"/>
        <v>5.8453894434978064</v>
      </c>
      <c r="V46" s="14">
        <v>0.1</v>
      </c>
      <c r="W46" s="9">
        <v>0.75</v>
      </c>
      <c r="X46" s="6">
        <v>800</v>
      </c>
      <c r="AC46" s="5"/>
      <c r="AE46">
        <v>3</v>
      </c>
      <c r="AJ46" s="13">
        <v>1401</v>
      </c>
      <c r="AK46" s="13">
        <v>1401</v>
      </c>
      <c r="AL46" s="10">
        <v>1.8079818620469146E-2</v>
      </c>
      <c r="AM46" s="1">
        <v>45.900001525878906</v>
      </c>
      <c r="AN46" s="2">
        <v>7</v>
      </c>
      <c r="AO46" s="3">
        <v>4.3600001335144043</v>
      </c>
      <c r="AP46" s="3">
        <v>4.3600001335144043</v>
      </c>
      <c r="AR46" s="1">
        <v>39.979999999999997</v>
      </c>
      <c r="AS46" s="1">
        <v>39.9</v>
      </c>
      <c r="AT46" s="1">
        <v>20.029999999999998</v>
      </c>
      <c r="CG46">
        <v>160</v>
      </c>
      <c r="CH46" s="13">
        <v>1401</v>
      </c>
      <c r="CI46" s="13">
        <v>1401</v>
      </c>
      <c r="CJ46">
        <v>0</v>
      </c>
      <c r="CK46">
        <v>31</v>
      </c>
      <c r="CL46">
        <v>0</v>
      </c>
      <c r="CM46" s="1">
        <v>45.900001525878906</v>
      </c>
      <c r="CR46">
        <v>4195.90087890625</v>
      </c>
      <c r="CS46">
        <v>4.7844162054389017E-7</v>
      </c>
      <c r="CT46">
        <v>0.66286259889602661</v>
      </c>
    </row>
    <row r="47" spans="1:98" x14ac:dyDescent="0.3">
      <c r="A47" s="4">
        <v>4.97</v>
      </c>
      <c r="B47" s="6">
        <v>780</v>
      </c>
      <c r="C47" s="5">
        <v>18.91</v>
      </c>
      <c r="D47">
        <v>1</v>
      </c>
      <c r="E47">
        <v>2</v>
      </c>
      <c r="F47">
        <v>661</v>
      </c>
      <c r="G47" s="12">
        <v>193.6</v>
      </c>
      <c r="H47" s="5">
        <v>80</v>
      </c>
      <c r="I47" s="5">
        <v>40.06</v>
      </c>
      <c r="J47" s="5">
        <v>19.96</v>
      </c>
      <c r="K47" s="5">
        <f t="shared" si="0"/>
        <v>60.03</v>
      </c>
      <c r="L47" s="5">
        <f t="shared" si="1"/>
        <v>39.94</v>
      </c>
      <c r="M47" s="5">
        <f t="shared" si="2"/>
        <v>40.07</v>
      </c>
      <c r="N47" s="13">
        <v>1612.39</v>
      </c>
      <c r="O47" s="17">
        <f t="shared" si="6"/>
        <v>5.772980537993544E-5</v>
      </c>
      <c r="P47" s="17">
        <f t="shared" si="8"/>
        <v>1.8520380318837154E-3</v>
      </c>
      <c r="Q47" s="11">
        <f t="shared" si="7"/>
        <v>1702.8462901712396</v>
      </c>
      <c r="R47" s="15">
        <f t="shared" si="4"/>
        <v>90.456290171239516</v>
      </c>
      <c r="S47" s="16">
        <f t="shared" si="5"/>
        <v>5.312064318039134</v>
      </c>
      <c r="V47" s="14">
        <v>0.1</v>
      </c>
      <c r="W47" s="9">
        <v>0.75</v>
      </c>
      <c r="X47" s="6">
        <v>800</v>
      </c>
      <c r="AC47" s="5"/>
      <c r="AE47">
        <v>3</v>
      </c>
      <c r="AJ47" s="13">
        <v>1630</v>
      </c>
      <c r="AK47" s="13">
        <v>1630</v>
      </c>
      <c r="AL47" s="10">
        <v>1.0921675277073106E-2</v>
      </c>
      <c r="AM47" s="1">
        <v>45</v>
      </c>
      <c r="AN47" s="2">
        <v>7</v>
      </c>
      <c r="AO47" s="3">
        <v>4.3299999237060547</v>
      </c>
      <c r="AP47" s="3">
        <v>4.3299999237060547</v>
      </c>
      <c r="AR47" s="1">
        <v>40.07</v>
      </c>
      <c r="AS47" s="1">
        <v>39.94</v>
      </c>
      <c r="AT47" s="1">
        <v>20.100000000000001</v>
      </c>
      <c r="CG47">
        <v>195</v>
      </c>
      <c r="CH47" s="13">
        <v>1630</v>
      </c>
      <c r="CI47" s="13">
        <v>1630</v>
      </c>
      <c r="CJ47">
        <v>0</v>
      </c>
      <c r="CK47">
        <v>36</v>
      </c>
      <c r="CL47">
        <v>0</v>
      </c>
      <c r="CM47" s="1">
        <v>45</v>
      </c>
      <c r="CR47">
        <v>4195.89794921875</v>
      </c>
      <c r="CS47">
        <v>4.7857787421889952E-7</v>
      </c>
      <c r="CT47">
        <v>0.66284537315368652</v>
      </c>
    </row>
    <row r="48" spans="1:98" x14ac:dyDescent="0.3">
      <c r="A48" s="4">
        <v>6.97</v>
      </c>
      <c r="B48" s="6">
        <v>780</v>
      </c>
      <c r="C48" s="5">
        <v>18.71</v>
      </c>
      <c r="D48">
        <v>1</v>
      </c>
      <c r="E48">
        <v>2</v>
      </c>
      <c r="F48">
        <v>833</v>
      </c>
      <c r="G48" s="12">
        <v>257.5</v>
      </c>
      <c r="H48" s="5">
        <v>80</v>
      </c>
      <c r="I48" s="5">
        <v>40.01</v>
      </c>
      <c r="J48" s="5">
        <v>20</v>
      </c>
      <c r="K48" s="5">
        <f t="shared" si="0"/>
        <v>60.004999999999995</v>
      </c>
      <c r="L48" s="5">
        <f t="shared" si="1"/>
        <v>39.99</v>
      </c>
      <c r="M48" s="5">
        <f t="shared" si="2"/>
        <v>40.004999999999995</v>
      </c>
      <c r="N48" s="13">
        <v>2055.02</v>
      </c>
      <c r="O48" s="17">
        <f t="shared" si="6"/>
        <v>5.7619752631811337E-5</v>
      </c>
      <c r="P48" s="17">
        <f t="shared" si="8"/>
        <v>1.8519279791355914E-3</v>
      </c>
      <c r="Q48" s="11">
        <f t="shared" si="7"/>
        <v>2174.4534173656725</v>
      </c>
      <c r="R48" s="15">
        <f t="shared" si="4"/>
        <v>119.43341736567254</v>
      </c>
      <c r="S48" s="16">
        <f t="shared" si="5"/>
        <v>5.4925718993035444</v>
      </c>
      <c r="V48" s="14">
        <v>0.1</v>
      </c>
      <c r="W48" s="9">
        <v>0.75</v>
      </c>
      <c r="X48" s="6">
        <v>800</v>
      </c>
      <c r="AC48" s="5"/>
      <c r="AE48">
        <v>3</v>
      </c>
      <c r="AJ48" s="13">
        <v>2009</v>
      </c>
      <c r="AK48" s="13">
        <v>2009</v>
      </c>
      <c r="AL48" s="10">
        <v>-2.2393942638027853E-2</v>
      </c>
      <c r="AM48" s="1">
        <v>43.200000762939453</v>
      </c>
      <c r="AN48" s="2">
        <v>8</v>
      </c>
      <c r="AO48" s="3">
        <v>4.3400001525878906</v>
      </c>
      <c r="AP48" s="3">
        <v>4.3400001525878906</v>
      </c>
      <c r="AR48" s="1">
        <v>40.004999999999995</v>
      </c>
      <c r="AS48" s="1">
        <v>39.99</v>
      </c>
      <c r="AT48" s="1">
        <v>20.009999999999994</v>
      </c>
      <c r="CG48">
        <v>260</v>
      </c>
      <c r="CH48" s="13">
        <v>2009</v>
      </c>
      <c r="CI48" s="13">
        <v>2009</v>
      </c>
      <c r="CJ48">
        <v>0</v>
      </c>
      <c r="CK48">
        <v>44</v>
      </c>
      <c r="CL48">
        <v>0.10000000149011612</v>
      </c>
      <c r="CM48" s="1">
        <v>43.200000762939453</v>
      </c>
      <c r="CR48">
        <v>4195.89501953125</v>
      </c>
      <c r="CS48">
        <v>4.7874823394522537E-7</v>
      </c>
      <c r="CT48">
        <v>0.66282391548156738</v>
      </c>
    </row>
    <row r="49" spans="1:98" x14ac:dyDescent="0.3">
      <c r="A49" s="4">
        <v>6.97</v>
      </c>
      <c r="B49" s="6">
        <v>780</v>
      </c>
      <c r="C49" s="5">
        <v>19.010000000000002</v>
      </c>
      <c r="D49">
        <v>1</v>
      </c>
      <c r="E49">
        <v>2</v>
      </c>
      <c r="F49">
        <v>834</v>
      </c>
      <c r="G49" s="12">
        <v>251.9</v>
      </c>
      <c r="H49" s="5">
        <v>90.02</v>
      </c>
      <c r="I49" s="5">
        <v>70.959999999999994</v>
      </c>
      <c r="J49" s="5">
        <v>21.72</v>
      </c>
      <c r="K49" s="5">
        <f t="shared" si="0"/>
        <v>80.489999999999995</v>
      </c>
      <c r="L49" s="5">
        <f t="shared" si="1"/>
        <v>19.060000000000002</v>
      </c>
      <c r="M49" s="5">
        <f t="shared" si="2"/>
        <v>58.769999999999996</v>
      </c>
      <c r="N49" s="13">
        <v>4091.58</v>
      </c>
      <c r="O49" s="17">
        <f t="shared" si="6"/>
        <v>6.5596074437021583E-5</v>
      </c>
      <c r="P49" s="17">
        <f t="shared" si="8"/>
        <v>1.8599043009408017E-3</v>
      </c>
      <c r="Q49" s="11">
        <f t="shared" si="7"/>
        <v>3802.9327187080635</v>
      </c>
      <c r="R49" s="15">
        <f t="shared" si="4"/>
        <v>288.64728129193645</v>
      </c>
      <c r="S49" s="16">
        <f t="shared" si="5"/>
        <v>7.5901232717573874</v>
      </c>
      <c r="V49" s="14">
        <v>0.1</v>
      </c>
      <c r="W49" s="9">
        <v>0.89</v>
      </c>
      <c r="X49" s="6">
        <v>800</v>
      </c>
      <c r="AC49" s="5"/>
      <c r="AE49">
        <v>3</v>
      </c>
      <c r="AJ49" s="13">
        <v>3997</v>
      </c>
      <c r="AK49" s="13">
        <v>3997</v>
      </c>
      <c r="AL49" s="10">
        <v>-2.3115764570166064E-2</v>
      </c>
      <c r="AM49" s="1">
        <v>69.099998474121094</v>
      </c>
      <c r="AN49" s="2">
        <v>3</v>
      </c>
      <c r="AO49" s="3">
        <v>4.820000171661377</v>
      </c>
      <c r="AP49" s="3">
        <v>4.820000171661377</v>
      </c>
      <c r="AR49" s="1">
        <v>58.769999999999996</v>
      </c>
      <c r="AS49" s="1">
        <v>19.060000000000002</v>
      </c>
      <c r="AT49" s="1">
        <v>49.239999999999995</v>
      </c>
      <c r="CG49">
        <v>250</v>
      </c>
      <c r="CH49" s="13">
        <v>3997</v>
      </c>
      <c r="CI49" s="13">
        <v>3997</v>
      </c>
      <c r="CJ49">
        <v>0</v>
      </c>
      <c r="CK49">
        <v>185</v>
      </c>
      <c r="CL49">
        <v>0.69999998807907104</v>
      </c>
      <c r="CM49" s="1">
        <v>69.099998474121094</v>
      </c>
      <c r="CR49">
        <v>4200.8232421875</v>
      </c>
      <c r="CS49">
        <v>3.6027392980031436E-7</v>
      </c>
      <c r="CT49">
        <v>0.67597705125808716</v>
      </c>
    </row>
    <row r="50" spans="1:98" x14ac:dyDescent="0.3">
      <c r="A50" s="4">
        <v>6.97</v>
      </c>
      <c r="B50" s="6">
        <v>780</v>
      </c>
      <c r="C50" s="5">
        <v>18.36</v>
      </c>
      <c r="D50">
        <v>1</v>
      </c>
      <c r="E50">
        <v>2</v>
      </c>
      <c r="F50">
        <v>835</v>
      </c>
      <c r="G50" s="12">
        <v>254.7</v>
      </c>
      <c r="H50" s="5">
        <v>79.989999999999995</v>
      </c>
      <c r="I50" s="5">
        <v>63.31</v>
      </c>
      <c r="J50" s="5">
        <v>20.5</v>
      </c>
      <c r="K50" s="5">
        <f t="shared" si="0"/>
        <v>71.650000000000006</v>
      </c>
      <c r="L50" s="5">
        <f t="shared" si="1"/>
        <v>16.679999999999993</v>
      </c>
      <c r="M50" s="5">
        <f t="shared" si="2"/>
        <v>51.150000000000006</v>
      </c>
      <c r="N50" s="13">
        <v>3577.5</v>
      </c>
      <c r="O50" s="17">
        <f t="shared" si="6"/>
        <v>6.556053905623776E-5</v>
      </c>
      <c r="P50" s="17">
        <f t="shared" si="8"/>
        <v>1.8598687655600177E-3</v>
      </c>
      <c r="Q50" s="11">
        <f t="shared" si="7"/>
        <v>3326.9216371793414</v>
      </c>
      <c r="R50" s="15">
        <f t="shared" si="4"/>
        <v>250.57836282065864</v>
      </c>
      <c r="S50" s="16">
        <f t="shared" si="5"/>
        <v>7.5318384424920337</v>
      </c>
      <c r="V50" s="14">
        <v>0.1</v>
      </c>
      <c r="W50" s="9">
        <v>0.89</v>
      </c>
      <c r="X50" s="6">
        <v>800</v>
      </c>
      <c r="AC50" s="5"/>
      <c r="AE50">
        <v>3</v>
      </c>
      <c r="AJ50" s="13">
        <v>3501</v>
      </c>
      <c r="AK50" s="13">
        <v>3501</v>
      </c>
      <c r="AL50" s="10">
        <v>-2.1383647798742134E-2</v>
      </c>
      <c r="AM50" s="1">
        <v>61.400001525878906</v>
      </c>
      <c r="AN50" s="2">
        <v>3</v>
      </c>
      <c r="AO50" s="3">
        <v>4.4699997901916504</v>
      </c>
      <c r="AP50" s="3">
        <v>4.4699997901916504</v>
      </c>
      <c r="AR50" s="1">
        <v>51.150000000000006</v>
      </c>
      <c r="AS50" s="1">
        <v>16.679999999999993</v>
      </c>
      <c r="AT50" s="1">
        <v>42.810000000000009</v>
      </c>
      <c r="CG50">
        <v>255</v>
      </c>
      <c r="CH50" s="13">
        <v>3501</v>
      </c>
      <c r="CI50" s="13">
        <v>3501</v>
      </c>
      <c r="CJ50">
        <v>0</v>
      </c>
      <c r="CK50">
        <v>184</v>
      </c>
      <c r="CL50">
        <v>0.69999998807907104</v>
      </c>
      <c r="CM50" s="1">
        <v>61.400001525878906</v>
      </c>
      <c r="CR50">
        <v>4198.02587890625</v>
      </c>
      <c r="CS50">
        <v>4.0634952824802895E-7</v>
      </c>
      <c r="CT50">
        <v>0.67149996757507324</v>
      </c>
    </row>
    <row r="51" spans="1:98" x14ac:dyDescent="0.3">
      <c r="A51" s="4">
        <v>6.97</v>
      </c>
      <c r="B51" s="6">
        <v>780</v>
      </c>
      <c r="C51" s="5">
        <v>18.36</v>
      </c>
      <c r="D51">
        <v>1</v>
      </c>
      <c r="E51">
        <v>2</v>
      </c>
      <c r="F51">
        <v>834</v>
      </c>
      <c r="G51" s="12">
        <v>259.7</v>
      </c>
      <c r="H51" s="5">
        <v>60.01</v>
      </c>
      <c r="I51" s="5">
        <v>48.82</v>
      </c>
      <c r="J51" s="5">
        <v>19.989999999999998</v>
      </c>
      <c r="K51" s="5">
        <f t="shared" si="0"/>
        <v>54.414999999999999</v>
      </c>
      <c r="L51" s="5">
        <f t="shared" si="1"/>
        <v>11.189999999999998</v>
      </c>
      <c r="M51" s="5">
        <f t="shared" si="2"/>
        <v>34.424999999999997</v>
      </c>
      <c r="N51" s="13">
        <v>2396.0500000000002</v>
      </c>
      <c r="O51" s="17">
        <f t="shared" si="6"/>
        <v>6.4408213359976697E-5</v>
      </c>
      <c r="P51" s="17">
        <f t="shared" si="8"/>
        <v>1.8587164398637568E-3</v>
      </c>
      <c r="Q51" s="11">
        <f t="shared" si="7"/>
        <v>2268.088879100942</v>
      </c>
      <c r="R51" s="15">
        <f t="shared" si="4"/>
        <v>127.96112089905819</v>
      </c>
      <c r="S51" s="16">
        <f t="shared" si="5"/>
        <v>5.6418036382146264</v>
      </c>
      <c r="V51" s="14">
        <v>0.1</v>
      </c>
      <c r="W51" s="9">
        <v>0.89</v>
      </c>
      <c r="X51" s="6">
        <v>800</v>
      </c>
      <c r="AC51" s="5"/>
      <c r="AE51">
        <v>3</v>
      </c>
      <c r="AJ51" s="13">
        <v>2369</v>
      </c>
      <c r="AK51" s="13">
        <v>2369</v>
      </c>
      <c r="AL51" s="10">
        <v>-1.12894138269235E-2</v>
      </c>
      <c r="AM51" s="1">
        <v>47.099998474121094</v>
      </c>
      <c r="AN51" s="2">
        <v>7</v>
      </c>
      <c r="AO51" s="3">
        <v>4.3299999237060547</v>
      </c>
      <c r="AP51" s="3">
        <v>4.3299999237060547</v>
      </c>
      <c r="AR51" s="1">
        <v>34.424999999999997</v>
      </c>
      <c r="AS51" s="1">
        <v>11.189999999999998</v>
      </c>
      <c r="AT51" s="1">
        <v>28.83</v>
      </c>
      <c r="CG51">
        <v>260</v>
      </c>
      <c r="CH51" s="13">
        <v>2369</v>
      </c>
      <c r="CI51" s="13">
        <v>2369</v>
      </c>
      <c r="CJ51">
        <v>0</v>
      </c>
      <c r="CK51">
        <v>184</v>
      </c>
      <c r="CL51">
        <v>0.69999998807907104</v>
      </c>
      <c r="CM51" s="1">
        <v>47.099998474121094</v>
      </c>
      <c r="CR51">
        <v>4195.306640625</v>
      </c>
      <c r="CS51">
        <v>5.1897768571507186E-7</v>
      </c>
      <c r="CT51">
        <v>0.65775406360626221</v>
      </c>
    </row>
    <row r="52" spans="1:98" x14ac:dyDescent="0.3">
      <c r="A52" s="4">
        <v>5.97</v>
      </c>
      <c r="B52" s="6">
        <v>780</v>
      </c>
      <c r="C52" s="5">
        <v>17.63</v>
      </c>
      <c r="D52">
        <v>1</v>
      </c>
      <c r="E52">
        <v>2</v>
      </c>
      <c r="F52">
        <v>748</v>
      </c>
      <c r="G52" s="12">
        <v>220.4</v>
      </c>
      <c r="H52" s="5">
        <v>90</v>
      </c>
      <c r="I52" s="5">
        <v>69.989999999999995</v>
      </c>
      <c r="J52" s="5">
        <v>20</v>
      </c>
      <c r="K52" s="5">
        <f t="shared" si="0"/>
        <v>79.995000000000005</v>
      </c>
      <c r="L52" s="5">
        <f t="shared" si="1"/>
        <v>20.010000000000005</v>
      </c>
      <c r="M52" s="5">
        <f t="shared" si="2"/>
        <v>59.995000000000005</v>
      </c>
      <c r="N52" s="13">
        <v>3703.83</v>
      </c>
      <c r="O52" s="17">
        <f t="shared" si="6"/>
        <v>6.5671793451725684E-5</v>
      </c>
      <c r="P52" s="17">
        <f t="shared" si="8"/>
        <v>1.8599800199555058E-3</v>
      </c>
      <c r="Q52" s="11">
        <f t="shared" si="7"/>
        <v>3438.5679682012724</v>
      </c>
      <c r="R52" s="15">
        <f t="shared" si="4"/>
        <v>265.26203179872755</v>
      </c>
      <c r="S52" s="16">
        <f t="shared" si="5"/>
        <v>7.7143169555402791</v>
      </c>
      <c r="V52" s="14">
        <v>0.1</v>
      </c>
      <c r="W52" s="9">
        <v>0.89</v>
      </c>
      <c r="X52" s="6">
        <v>800</v>
      </c>
      <c r="AE52">
        <v>3</v>
      </c>
      <c r="AJ52" s="13">
        <v>3660</v>
      </c>
      <c r="AK52" s="13">
        <v>3660</v>
      </c>
      <c r="AL52" s="10">
        <v>-1.1833696470950339E-2</v>
      </c>
      <c r="AM52" s="1">
        <v>69.300003051757813</v>
      </c>
      <c r="AN52" s="2">
        <v>2</v>
      </c>
      <c r="AO52" s="3">
        <v>4.3400001525878906</v>
      </c>
      <c r="AP52" s="3">
        <v>4.3400001525878906</v>
      </c>
      <c r="AR52" s="1">
        <v>59.995000000000005</v>
      </c>
      <c r="AS52" s="1">
        <v>20.010000000000005</v>
      </c>
      <c r="AT52" s="1">
        <v>49.99</v>
      </c>
      <c r="CG52">
        <v>220</v>
      </c>
      <c r="CH52" s="13">
        <v>3660</v>
      </c>
      <c r="CI52" s="13">
        <v>3660</v>
      </c>
      <c r="CJ52">
        <v>0</v>
      </c>
      <c r="CK52">
        <v>161</v>
      </c>
      <c r="CL52">
        <v>0.5</v>
      </c>
      <c r="CM52" s="1">
        <v>69.300003051757813</v>
      </c>
      <c r="CR52">
        <v>4200.63330078125</v>
      </c>
      <c r="CS52">
        <v>3.626076932050637E-7</v>
      </c>
      <c r="CT52">
        <v>0.67578309774398804</v>
      </c>
    </row>
    <row r="53" spans="1:98" x14ac:dyDescent="0.3">
      <c r="A53" s="4">
        <v>5.97</v>
      </c>
      <c r="B53" s="6">
        <v>780</v>
      </c>
      <c r="C53" s="5">
        <v>18.07</v>
      </c>
      <c r="D53">
        <v>1</v>
      </c>
      <c r="E53">
        <v>2</v>
      </c>
      <c r="F53">
        <v>748</v>
      </c>
      <c r="G53" s="12">
        <v>222.8</v>
      </c>
      <c r="H53" s="5">
        <v>80.03</v>
      </c>
      <c r="I53" s="5">
        <v>62.85</v>
      </c>
      <c r="J53" s="5">
        <v>20.05</v>
      </c>
      <c r="K53" s="5">
        <f t="shared" si="0"/>
        <v>71.44</v>
      </c>
      <c r="L53" s="5">
        <f t="shared" si="1"/>
        <v>17.18</v>
      </c>
      <c r="M53" s="5">
        <f t="shared" si="2"/>
        <v>51.39</v>
      </c>
      <c r="N53" s="13">
        <v>3178.52</v>
      </c>
      <c r="O53" s="17">
        <f t="shared" si="6"/>
        <v>6.5470389701246867E-5</v>
      </c>
      <c r="P53" s="17">
        <f t="shared" si="8"/>
        <v>1.859778616205027E-3</v>
      </c>
      <c r="Q53" s="11">
        <f t="shared" si="7"/>
        <v>2959.9574455831121</v>
      </c>
      <c r="R53" s="15">
        <f t="shared" si="4"/>
        <v>218.56255441688791</v>
      </c>
      <c r="S53" s="16">
        <f t="shared" si="5"/>
        <v>7.383976237328338</v>
      </c>
      <c r="V53" s="14">
        <v>0.1</v>
      </c>
      <c r="W53" s="9">
        <v>0.89</v>
      </c>
      <c r="X53" s="6">
        <v>800</v>
      </c>
      <c r="AE53">
        <v>3</v>
      </c>
      <c r="AJ53" s="13">
        <v>3147</v>
      </c>
      <c r="AK53" s="13">
        <v>3147</v>
      </c>
      <c r="AL53" s="10">
        <v>-9.9165649421742996E-3</v>
      </c>
      <c r="AM53" s="1">
        <v>62</v>
      </c>
      <c r="AN53" s="2">
        <v>3</v>
      </c>
      <c r="AO53" s="3">
        <v>4.3499999046325684</v>
      </c>
      <c r="AP53" s="3">
        <v>4.3499999046325684</v>
      </c>
      <c r="AR53" s="1">
        <v>51.39</v>
      </c>
      <c r="AS53" s="1">
        <v>17.18</v>
      </c>
      <c r="AT53" s="1">
        <v>42.8</v>
      </c>
      <c r="CG53">
        <v>225</v>
      </c>
      <c r="CH53" s="13">
        <v>3147</v>
      </c>
      <c r="CI53" s="13">
        <v>3147</v>
      </c>
      <c r="CJ53">
        <v>0</v>
      </c>
      <c r="CK53">
        <v>161</v>
      </c>
      <c r="CL53">
        <v>0.5</v>
      </c>
      <c r="CM53" s="1">
        <v>62</v>
      </c>
      <c r="CR53">
        <v>4197.9736328125</v>
      </c>
      <c r="CS53">
        <v>4.0754281371846446E-7</v>
      </c>
      <c r="CT53">
        <v>0.67136931419372559</v>
      </c>
    </row>
    <row r="54" spans="1:98" x14ac:dyDescent="0.3">
      <c r="A54" s="4">
        <v>5.98</v>
      </c>
      <c r="B54" s="6">
        <v>780</v>
      </c>
      <c r="C54" s="5">
        <v>18.43</v>
      </c>
      <c r="D54">
        <v>1</v>
      </c>
      <c r="E54">
        <v>2</v>
      </c>
      <c r="F54">
        <v>747</v>
      </c>
      <c r="G54" s="12">
        <v>227.2</v>
      </c>
      <c r="H54" s="5">
        <v>60.01</v>
      </c>
      <c r="I54" s="5">
        <v>48.48</v>
      </c>
      <c r="J54" s="5">
        <v>20</v>
      </c>
      <c r="K54" s="5">
        <f t="shared" si="0"/>
        <v>54.244999999999997</v>
      </c>
      <c r="L54" s="5">
        <f t="shared" si="1"/>
        <v>11.530000000000001</v>
      </c>
      <c r="M54" s="5">
        <f t="shared" si="2"/>
        <v>34.244999999999997</v>
      </c>
      <c r="N54" s="13">
        <v>2129.77</v>
      </c>
      <c r="O54" s="17">
        <f t="shared" si="6"/>
        <v>6.5088330754107301E-5</v>
      </c>
      <c r="P54" s="17">
        <f t="shared" si="8"/>
        <v>1.8593965572578873E-3</v>
      </c>
      <c r="Q54" s="11">
        <f t="shared" si="7"/>
        <v>1994.963785410707</v>
      </c>
      <c r="R54" s="15">
        <f t="shared" si="4"/>
        <v>134.80621458929295</v>
      </c>
      <c r="S54" s="16">
        <f t="shared" si="5"/>
        <v>6.7573264023707669</v>
      </c>
      <c r="V54" s="14">
        <v>0.1</v>
      </c>
      <c r="W54" s="9">
        <v>0.89</v>
      </c>
      <c r="X54" s="6">
        <v>800</v>
      </c>
      <c r="AE54">
        <v>3</v>
      </c>
      <c r="AJ54" s="13">
        <v>2106</v>
      </c>
      <c r="AK54" s="13">
        <v>2106</v>
      </c>
      <c r="AL54" s="10">
        <v>-1.1160829573146347E-2</v>
      </c>
      <c r="AM54" s="1">
        <v>47.5</v>
      </c>
      <c r="AN54" s="2">
        <v>6</v>
      </c>
      <c r="AO54" s="3">
        <v>4.3400001525878906</v>
      </c>
      <c r="AP54" s="3">
        <v>4.3400001525878906</v>
      </c>
      <c r="AR54" s="1">
        <v>34.244999999999997</v>
      </c>
      <c r="AS54" s="1">
        <v>11.530000000000001</v>
      </c>
      <c r="AT54" s="1">
        <v>28.479999999999997</v>
      </c>
      <c r="CG54">
        <v>225</v>
      </c>
      <c r="CH54" s="13">
        <v>2106</v>
      </c>
      <c r="CI54" s="13">
        <v>2106</v>
      </c>
      <c r="CJ54">
        <v>0</v>
      </c>
      <c r="CK54">
        <v>159</v>
      </c>
      <c r="CL54">
        <v>0.5</v>
      </c>
      <c r="CM54" s="1">
        <v>47.5</v>
      </c>
      <c r="CR54">
        <v>4195.2919921875</v>
      </c>
      <c r="CS54">
        <v>5.2027633046236588E-7</v>
      </c>
      <c r="CT54">
        <v>0.65759181976318359</v>
      </c>
    </row>
    <row r="55" spans="1:98" x14ac:dyDescent="0.3">
      <c r="A55" s="4">
        <v>4.97</v>
      </c>
      <c r="B55" s="6">
        <v>780</v>
      </c>
      <c r="C55" s="5">
        <v>18.149999999999999</v>
      </c>
      <c r="D55">
        <v>1</v>
      </c>
      <c r="E55">
        <v>2</v>
      </c>
      <c r="F55">
        <v>663</v>
      </c>
      <c r="G55" s="12">
        <v>190.8</v>
      </c>
      <c r="H55" s="5">
        <v>90.04</v>
      </c>
      <c r="I55" s="5">
        <v>60.53</v>
      </c>
      <c r="J55" s="5">
        <v>20.48</v>
      </c>
      <c r="K55" s="5">
        <f t="shared" si="0"/>
        <v>75.284999999999997</v>
      </c>
      <c r="L55" s="5">
        <f t="shared" si="1"/>
        <v>29.510000000000005</v>
      </c>
      <c r="M55" s="5">
        <f t="shared" si="2"/>
        <v>54.804999999999993</v>
      </c>
      <c r="N55" s="13">
        <v>2810.89</v>
      </c>
      <c r="O55" s="17">
        <f t="shared" si="6"/>
        <v>6.6955380117714593E-5</v>
      </c>
      <c r="P55" s="17">
        <f t="shared" si="8"/>
        <v>1.8612636066214945E-3</v>
      </c>
      <c r="Q55" s="11">
        <f t="shared" si="7"/>
        <v>2559.5511649345972</v>
      </c>
      <c r="R55" s="15">
        <f t="shared" si="4"/>
        <v>251.33883506540269</v>
      </c>
      <c r="S55" s="16">
        <f t="shared" si="5"/>
        <v>9.8196448857401641</v>
      </c>
      <c r="V55" s="14">
        <v>0.1</v>
      </c>
      <c r="W55" s="9">
        <v>0.88</v>
      </c>
      <c r="X55" s="6">
        <v>800</v>
      </c>
      <c r="AE55">
        <v>3</v>
      </c>
      <c r="AJ55" s="13">
        <v>2814</v>
      </c>
      <c r="AK55" s="13">
        <v>2814</v>
      </c>
      <c r="AL55" s="10">
        <v>1.1064111366863028E-3</v>
      </c>
      <c r="AM55" s="1">
        <v>64.300003051757813</v>
      </c>
      <c r="AN55" s="2">
        <v>3</v>
      </c>
      <c r="AO55" s="3">
        <v>4.4699997901916504</v>
      </c>
      <c r="AP55" s="3">
        <v>4.4699997901916504</v>
      </c>
      <c r="AR55" s="1">
        <v>54.804999999999993</v>
      </c>
      <c r="AS55" s="1">
        <v>29.510000000000005</v>
      </c>
      <c r="AT55" s="1">
        <v>40.04999999999999</v>
      </c>
      <c r="CG55">
        <v>190</v>
      </c>
      <c r="CH55" s="13">
        <v>2814</v>
      </c>
      <c r="CI55" s="13">
        <v>2814</v>
      </c>
      <c r="CJ55">
        <v>0</v>
      </c>
      <c r="CK55">
        <v>84</v>
      </c>
      <c r="CL55">
        <v>0.20000000298023224</v>
      </c>
      <c r="CM55" s="1">
        <v>64.300003051757813</v>
      </c>
      <c r="CR55">
        <v>4199.0302734375</v>
      </c>
      <c r="CS55">
        <v>3.8636628119093075E-7</v>
      </c>
      <c r="CT55">
        <v>0.67359060049057007</v>
      </c>
    </row>
    <row r="56" spans="1:98" x14ac:dyDescent="0.3">
      <c r="A56" s="4">
        <v>4.97</v>
      </c>
      <c r="B56" s="6">
        <v>780</v>
      </c>
      <c r="C56" s="5">
        <v>19.3</v>
      </c>
      <c r="D56">
        <v>1</v>
      </c>
      <c r="E56">
        <v>2</v>
      </c>
      <c r="F56">
        <v>661</v>
      </c>
      <c r="G56" s="12">
        <v>201.3</v>
      </c>
      <c r="H56" s="5">
        <v>30.02</v>
      </c>
      <c r="I56" s="5">
        <v>25.61</v>
      </c>
      <c r="J56" s="5">
        <v>20.05</v>
      </c>
      <c r="K56" s="5">
        <f t="shared" ref="K56:K71" si="9">(H56+I56)/2</f>
        <v>27.814999999999998</v>
      </c>
      <c r="L56" s="5">
        <f t="shared" ref="L56:L71" si="10">H56-I56</f>
        <v>4.41</v>
      </c>
      <c r="M56" s="5">
        <f t="shared" ref="M56:M71" si="11">K56-J56</f>
        <v>7.764999999999997</v>
      </c>
      <c r="N56" s="13">
        <v>357.27</v>
      </c>
      <c r="O56" s="17">
        <f t="shared" si="6"/>
        <v>5.6841500972341566E-5</v>
      </c>
      <c r="P56" s="17">
        <f t="shared" si="8"/>
        <v>1.8511497274761215E-3</v>
      </c>
      <c r="Q56" s="11">
        <f t="shared" si="7"/>
        <v>383.20966802295015</v>
      </c>
      <c r="R56" s="15">
        <f t="shared" ref="R56:R71" si="12">ABS(Q56-N56)</f>
        <v>25.939668022950173</v>
      </c>
      <c r="S56" s="16">
        <f t="shared" ref="S56:S71" si="13">ABS((1-N56/Q56)*100)</f>
        <v>6.769053650649715</v>
      </c>
      <c r="V56" s="14">
        <v>0.1</v>
      </c>
      <c r="W56" s="9">
        <v>0.88</v>
      </c>
      <c r="X56" s="6">
        <v>800</v>
      </c>
      <c r="AE56">
        <v>3</v>
      </c>
      <c r="AJ56" s="13">
        <v>391</v>
      </c>
      <c r="AK56" s="13">
        <v>391</v>
      </c>
      <c r="AL56" s="10">
        <v>9.4410389901195213E-2</v>
      </c>
      <c r="AM56" s="1">
        <v>25.799999237060547</v>
      </c>
      <c r="AN56" s="2">
        <v>21</v>
      </c>
      <c r="AO56" s="3">
        <v>4.3499999046325684</v>
      </c>
      <c r="AP56" s="3">
        <v>4.3499999046325684</v>
      </c>
      <c r="AR56" s="1">
        <v>7.764999999999997</v>
      </c>
      <c r="AS56" s="1">
        <v>4.41</v>
      </c>
      <c r="AT56" s="1">
        <v>5.5599999999999969</v>
      </c>
      <c r="CG56">
        <v>200</v>
      </c>
      <c r="CH56" s="13">
        <v>391</v>
      </c>
      <c r="CI56" s="13">
        <v>391</v>
      </c>
      <c r="CJ56">
        <v>0</v>
      </c>
      <c r="CK56">
        <v>76</v>
      </c>
      <c r="CL56">
        <v>0.20000000298023224</v>
      </c>
      <c r="CM56" s="1">
        <v>25.799999237060547</v>
      </c>
      <c r="CR56">
        <v>4193.52880859375</v>
      </c>
      <c r="CS56">
        <v>8.3415801555020153E-7</v>
      </c>
      <c r="CT56">
        <v>0.62741076946258545</v>
      </c>
    </row>
    <row r="57" spans="1:98" x14ac:dyDescent="0.3">
      <c r="A57" s="4">
        <v>4.97</v>
      </c>
      <c r="B57" s="6">
        <v>780</v>
      </c>
      <c r="C57" s="5">
        <v>19.25</v>
      </c>
      <c r="D57">
        <v>1</v>
      </c>
      <c r="E57">
        <v>2</v>
      </c>
      <c r="F57">
        <v>661</v>
      </c>
      <c r="G57" s="12">
        <v>200.8</v>
      </c>
      <c r="H57" s="5">
        <v>32.56</v>
      </c>
      <c r="I57" s="5">
        <v>26.96</v>
      </c>
      <c r="J57" s="5">
        <v>19.97</v>
      </c>
      <c r="K57" s="5">
        <f t="shared" si="9"/>
        <v>29.76</v>
      </c>
      <c r="L57" s="5">
        <f t="shared" si="10"/>
        <v>5.6000000000000014</v>
      </c>
      <c r="M57" s="5">
        <f t="shared" si="11"/>
        <v>9.7900000000000027</v>
      </c>
      <c r="N57" s="13">
        <v>453.91</v>
      </c>
      <c r="O57" s="17">
        <f t="shared" si="6"/>
        <v>5.7805936670561581E-5</v>
      </c>
      <c r="P57" s="17">
        <f t="shared" si="8"/>
        <v>1.8521141631743416E-3</v>
      </c>
      <c r="Q57" s="11">
        <f t="shared" si="7"/>
        <v>478.7433482604747</v>
      </c>
      <c r="R57" s="15">
        <f t="shared" si="12"/>
        <v>24.833348260474679</v>
      </c>
      <c r="S57" s="16">
        <f t="shared" si="13"/>
        <v>5.1871944227961038</v>
      </c>
      <c r="V57" s="14">
        <v>0.1</v>
      </c>
      <c r="W57" s="9">
        <v>0.88</v>
      </c>
      <c r="X57" s="6">
        <v>800</v>
      </c>
      <c r="AE57">
        <v>3</v>
      </c>
      <c r="AJ57" s="13">
        <v>493</v>
      </c>
      <c r="AK57" s="13">
        <v>493</v>
      </c>
      <c r="AL57" s="10">
        <v>8.6118393514132752E-2</v>
      </c>
      <c r="AM57" s="1">
        <v>27.299999237060547</v>
      </c>
      <c r="AN57" s="2">
        <v>19</v>
      </c>
      <c r="AO57" s="3">
        <v>4.3299999237060547</v>
      </c>
      <c r="AP57" s="3">
        <v>4.3299999237060547</v>
      </c>
      <c r="AR57" s="1">
        <v>9.7900000000000027</v>
      </c>
      <c r="AS57" s="1">
        <v>5.6000000000000014</v>
      </c>
      <c r="AT57" s="1">
        <v>6.990000000000002</v>
      </c>
      <c r="CG57">
        <v>200</v>
      </c>
      <c r="CH57" s="13">
        <v>493</v>
      </c>
      <c r="CI57" s="13">
        <v>493</v>
      </c>
      <c r="CJ57">
        <v>0</v>
      </c>
      <c r="CK57">
        <v>76</v>
      </c>
      <c r="CL57">
        <v>0.20000000298023224</v>
      </c>
      <c r="CM57" s="1">
        <v>27.299999237060547</v>
      </c>
      <c r="CR57">
        <v>4193.7099609375</v>
      </c>
      <c r="CS57">
        <v>7.9931669461075217E-7</v>
      </c>
      <c r="CT57">
        <v>0.62995076179504395</v>
      </c>
    </row>
    <row r="58" spans="1:98" x14ac:dyDescent="0.3">
      <c r="A58" s="4">
        <v>4.99</v>
      </c>
      <c r="B58" s="6">
        <v>780</v>
      </c>
      <c r="C58" s="5">
        <v>19.41</v>
      </c>
      <c r="D58">
        <v>1</v>
      </c>
      <c r="E58">
        <v>2</v>
      </c>
      <c r="F58">
        <v>658</v>
      </c>
      <c r="G58" s="12">
        <v>199.3</v>
      </c>
      <c r="H58" s="5">
        <v>35.04</v>
      </c>
      <c r="I58" s="5">
        <v>28.32</v>
      </c>
      <c r="J58" s="5">
        <v>20.14</v>
      </c>
      <c r="K58" s="5">
        <f t="shared" si="9"/>
        <v>31.68</v>
      </c>
      <c r="L58" s="5">
        <f t="shared" si="10"/>
        <v>6.7199999999999989</v>
      </c>
      <c r="M58" s="5">
        <f t="shared" si="11"/>
        <v>11.54</v>
      </c>
      <c r="N58" s="13">
        <v>543.39</v>
      </c>
      <c r="O58" s="17">
        <f t="shared" si="6"/>
        <v>5.9502728805842032E-5</v>
      </c>
      <c r="P58" s="17">
        <f t="shared" si="8"/>
        <v>1.853810955309622E-3</v>
      </c>
      <c r="Q58" s="11">
        <f t="shared" si="7"/>
        <v>556.77561172435662</v>
      </c>
      <c r="R58" s="15">
        <f t="shared" si="12"/>
        <v>13.385611724356636</v>
      </c>
      <c r="S58" s="16">
        <f t="shared" si="13"/>
        <v>2.4041303969656425</v>
      </c>
      <c r="V58" s="14">
        <v>0.1</v>
      </c>
      <c r="W58" s="9">
        <v>0.88</v>
      </c>
      <c r="X58" s="6">
        <v>800</v>
      </c>
      <c r="AE58">
        <v>3</v>
      </c>
      <c r="AJ58" s="13">
        <v>577</v>
      </c>
      <c r="AK58" s="13">
        <v>577</v>
      </c>
      <c r="AL58" s="10">
        <v>6.1852444837041665E-2</v>
      </c>
      <c r="AM58" s="1">
        <v>28.700000762939453</v>
      </c>
      <c r="AN58" s="2">
        <v>18</v>
      </c>
      <c r="AO58" s="3">
        <v>4.380000114440918</v>
      </c>
      <c r="AP58" s="3">
        <v>4.380000114440918</v>
      </c>
      <c r="AR58" s="1">
        <v>11.54</v>
      </c>
      <c r="AS58" s="1">
        <v>6.7199999999999989</v>
      </c>
      <c r="AT58" s="1">
        <v>8.18</v>
      </c>
      <c r="CG58">
        <v>200</v>
      </c>
      <c r="CH58" s="13">
        <v>577</v>
      </c>
      <c r="CI58" s="13">
        <v>577</v>
      </c>
      <c r="CJ58">
        <v>0</v>
      </c>
      <c r="CK58">
        <v>74</v>
      </c>
      <c r="CL58">
        <v>0.20000000298023224</v>
      </c>
      <c r="CM58" s="1">
        <v>28.700000762939453</v>
      </c>
      <c r="CR58">
        <v>4193.8681640625</v>
      </c>
      <c r="CS58">
        <v>7.6746886179535068E-7</v>
      </c>
      <c r="CT58">
        <v>0.63240808248519897</v>
      </c>
    </row>
    <row r="59" spans="1:98" x14ac:dyDescent="0.3">
      <c r="A59" s="4">
        <v>4.99</v>
      </c>
      <c r="B59" s="6">
        <v>780</v>
      </c>
      <c r="C59" s="5">
        <v>19.420000000000002</v>
      </c>
      <c r="D59">
        <v>1</v>
      </c>
      <c r="E59">
        <v>2</v>
      </c>
      <c r="F59">
        <v>661</v>
      </c>
      <c r="G59" s="12">
        <v>199.5</v>
      </c>
      <c r="H59" s="5">
        <v>40.020000000000003</v>
      </c>
      <c r="I59" s="5">
        <v>31.05</v>
      </c>
      <c r="J59" s="5">
        <v>20.010000000000002</v>
      </c>
      <c r="K59" s="5">
        <f t="shared" si="9"/>
        <v>35.535000000000004</v>
      </c>
      <c r="L59" s="5">
        <f t="shared" si="10"/>
        <v>8.9700000000000024</v>
      </c>
      <c r="M59" s="5">
        <f t="shared" si="11"/>
        <v>15.525000000000002</v>
      </c>
      <c r="N59" s="13">
        <v>725.76</v>
      </c>
      <c r="O59" s="17">
        <f t="shared" si="6"/>
        <v>5.9313442277003296E-5</v>
      </c>
      <c r="P59" s="17">
        <f t="shared" si="8"/>
        <v>1.8536216687807833E-3</v>
      </c>
      <c r="Q59" s="11">
        <f t="shared" si="7"/>
        <v>746.01119414885306</v>
      </c>
      <c r="R59" s="15">
        <f t="shared" si="12"/>
        <v>20.251194148853074</v>
      </c>
      <c r="S59" s="16">
        <f t="shared" si="13"/>
        <v>2.7145965513236447</v>
      </c>
      <c r="V59" s="14">
        <v>0.1</v>
      </c>
      <c r="W59" s="9">
        <v>0.88</v>
      </c>
      <c r="X59" s="6">
        <v>800</v>
      </c>
      <c r="AE59">
        <v>3</v>
      </c>
      <c r="AJ59" s="13">
        <v>784</v>
      </c>
      <c r="AK59" s="13">
        <v>784</v>
      </c>
      <c r="AL59" s="10">
        <v>8.0246913580246826E-2</v>
      </c>
      <c r="AM59" s="1">
        <v>31.700000762939453</v>
      </c>
      <c r="AN59" s="2">
        <v>15</v>
      </c>
      <c r="AO59" s="3">
        <v>4.3400001525878906</v>
      </c>
      <c r="AP59" s="3">
        <v>4.3400001525878906</v>
      </c>
      <c r="AR59" s="1">
        <v>15.525000000000002</v>
      </c>
      <c r="AS59" s="1">
        <v>8.9700000000000024</v>
      </c>
      <c r="AT59" s="1">
        <v>11.040000000000001</v>
      </c>
      <c r="CG59">
        <v>200</v>
      </c>
      <c r="CH59" s="13">
        <v>784</v>
      </c>
      <c r="CI59" s="13">
        <v>784</v>
      </c>
      <c r="CJ59">
        <v>0</v>
      </c>
      <c r="CK59">
        <v>75</v>
      </c>
      <c r="CL59">
        <v>0.20000000298023224</v>
      </c>
      <c r="CM59" s="1">
        <v>31.700000762939453</v>
      </c>
      <c r="CR59">
        <v>4194.1376953125</v>
      </c>
      <c r="CS59">
        <v>7.1032258119885228E-7</v>
      </c>
      <c r="CT59">
        <v>0.63719457387924194</v>
      </c>
    </row>
    <row r="60" spans="1:98" x14ac:dyDescent="0.3">
      <c r="A60" s="4">
        <v>4.99</v>
      </c>
      <c r="B60" s="6">
        <v>580</v>
      </c>
      <c r="C60" s="5">
        <v>19.02</v>
      </c>
      <c r="D60">
        <v>1</v>
      </c>
      <c r="E60">
        <v>2</v>
      </c>
      <c r="F60">
        <v>654</v>
      </c>
      <c r="G60" s="12">
        <v>147.6</v>
      </c>
      <c r="H60" s="5">
        <v>30</v>
      </c>
      <c r="I60" s="5">
        <v>25.86</v>
      </c>
      <c r="J60" s="5">
        <v>19.57</v>
      </c>
      <c r="K60" s="5">
        <f t="shared" si="9"/>
        <v>27.93</v>
      </c>
      <c r="L60" s="5">
        <f t="shared" si="10"/>
        <v>4.1400000000000006</v>
      </c>
      <c r="M60" s="5">
        <f t="shared" si="11"/>
        <v>8.36</v>
      </c>
      <c r="N60" s="13">
        <v>302.97000000000003</v>
      </c>
      <c r="O60" s="17">
        <f t="shared" si="6"/>
        <v>5.9683277270271756E-5</v>
      </c>
      <c r="P60" s="17">
        <f t="shared" si="8"/>
        <v>1.8539915037740517E-3</v>
      </c>
      <c r="Q60" s="11">
        <f t="shared" si="7"/>
        <v>309.49412482859816</v>
      </c>
      <c r="R60" s="15">
        <f t="shared" si="12"/>
        <v>6.5241248285981328</v>
      </c>
      <c r="S60" s="16">
        <f t="shared" si="13"/>
        <v>2.107996341517393</v>
      </c>
      <c r="V60" s="14">
        <v>0.1</v>
      </c>
      <c r="W60" s="9">
        <v>0.88</v>
      </c>
      <c r="X60" s="6">
        <v>600</v>
      </c>
      <c r="AE60">
        <v>3</v>
      </c>
      <c r="AJ60" s="13">
        <v>306</v>
      </c>
      <c r="AK60" s="13">
        <v>306</v>
      </c>
      <c r="AL60" s="10">
        <v>1.0000990197049031E-2</v>
      </c>
      <c r="AM60" s="1">
        <v>25.700000762939453</v>
      </c>
      <c r="AN60" s="2">
        <v>21</v>
      </c>
      <c r="AO60" s="3">
        <v>4.2199997901916504</v>
      </c>
      <c r="AP60" s="3">
        <v>4.2199997901916504</v>
      </c>
      <c r="AR60" s="1">
        <v>8.36</v>
      </c>
      <c r="AS60" s="1">
        <v>4.1400000000000006</v>
      </c>
      <c r="AT60" s="1">
        <v>6.2899999999999991</v>
      </c>
      <c r="CG60">
        <v>150</v>
      </c>
      <c r="CH60" s="13">
        <v>306</v>
      </c>
      <c r="CI60" s="13">
        <v>306</v>
      </c>
      <c r="CJ60">
        <v>0</v>
      </c>
      <c r="CK60">
        <v>64</v>
      </c>
      <c r="CL60">
        <v>0.10000000149011612</v>
      </c>
      <c r="CM60" s="1">
        <v>25.700000762939453</v>
      </c>
      <c r="CR60">
        <v>4193.5400390625</v>
      </c>
      <c r="CS60">
        <v>8.3202172618257464E-7</v>
      </c>
      <c r="CT60">
        <v>0.62756240367889404</v>
      </c>
    </row>
    <row r="61" spans="1:98" x14ac:dyDescent="0.3">
      <c r="A61" s="4">
        <v>4.99</v>
      </c>
      <c r="B61" s="6">
        <v>580</v>
      </c>
      <c r="C61" s="5">
        <v>19.04</v>
      </c>
      <c r="D61">
        <v>1</v>
      </c>
      <c r="E61">
        <v>2</v>
      </c>
      <c r="F61">
        <v>654</v>
      </c>
      <c r="G61" s="12">
        <v>146.9</v>
      </c>
      <c r="H61" s="5">
        <v>34.9</v>
      </c>
      <c r="I61" s="5">
        <v>28.94</v>
      </c>
      <c r="J61" s="5">
        <v>19.850000000000001</v>
      </c>
      <c r="K61" s="5">
        <f t="shared" si="9"/>
        <v>31.92</v>
      </c>
      <c r="L61" s="5">
        <f t="shared" si="10"/>
        <v>5.9599999999999973</v>
      </c>
      <c r="M61" s="5">
        <f t="shared" si="11"/>
        <v>12.07</v>
      </c>
      <c r="N61" s="13">
        <v>436.15</v>
      </c>
      <c r="O61" s="17">
        <f t="shared" si="6"/>
        <v>6.0237164584119539E-5</v>
      </c>
      <c r="P61" s="17">
        <f t="shared" si="8"/>
        <v>1.8545453910878995E-3</v>
      </c>
      <c r="Q61" s="11">
        <f t="shared" si="7"/>
        <v>441.44520177052999</v>
      </c>
      <c r="R61" s="15">
        <f t="shared" si="12"/>
        <v>5.2952017705300136</v>
      </c>
      <c r="S61" s="16">
        <f t="shared" si="13"/>
        <v>1.1995150812133093</v>
      </c>
      <c r="V61" s="14">
        <v>0.1</v>
      </c>
      <c r="W61" s="9">
        <v>0.88</v>
      </c>
      <c r="X61" s="6">
        <v>600</v>
      </c>
      <c r="AE61">
        <v>3</v>
      </c>
      <c r="AJ61" s="13">
        <v>444</v>
      </c>
      <c r="AK61" s="13">
        <v>444</v>
      </c>
      <c r="AL61" s="10">
        <v>1.7998395047575499E-2</v>
      </c>
      <c r="AM61" s="1">
        <v>28.799999237060547</v>
      </c>
      <c r="AN61" s="2">
        <v>18</v>
      </c>
      <c r="AO61" s="3">
        <v>4.3000001907348633</v>
      </c>
      <c r="AP61" s="3">
        <v>4.3000001907348633</v>
      </c>
      <c r="AR61" s="1">
        <v>12.07</v>
      </c>
      <c r="AS61" s="1">
        <v>5.9599999999999973</v>
      </c>
      <c r="AT61" s="1">
        <v>9.0900000000000016</v>
      </c>
      <c r="CG61">
        <v>145</v>
      </c>
      <c r="CH61" s="13">
        <v>444</v>
      </c>
      <c r="CI61" s="13">
        <v>444</v>
      </c>
      <c r="CJ61">
        <v>0</v>
      </c>
      <c r="CK61">
        <v>64</v>
      </c>
      <c r="CL61">
        <v>0.10000000149011612</v>
      </c>
      <c r="CM61" s="1">
        <v>28.799999237060547</v>
      </c>
      <c r="CR61">
        <v>4193.88671875</v>
      </c>
      <c r="CS61">
        <v>7.6365500945030362E-7</v>
      </c>
      <c r="CT61">
        <v>0.63271182775497437</v>
      </c>
    </row>
    <row r="62" spans="1:98" x14ac:dyDescent="0.3">
      <c r="A62" s="4">
        <v>4.99</v>
      </c>
      <c r="B62" s="6">
        <v>580</v>
      </c>
      <c r="C62" s="5">
        <v>19.21</v>
      </c>
      <c r="D62">
        <v>1</v>
      </c>
      <c r="E62">
        <v>2</v>
      </c>
      <c r="F62">
        <v>653</v>
      </c>
      <c r="G62" s="12">
        <v>146</v>
      </c>
      <c r="H62" s="5">
        <v>39.909999999999997</v>
      </c>
      <c r="I62" s="5">
        <v>32.020000000000003</v>
      </c>
      <c r="J62" s="5">
        <v>20.02</v>
      </c>
      <c r="K62" s="5">
        <f t="shared" si="9"/>
        <v>35.965000000000003</v>
      </c>
      <c r="L62" s="5">
        <f t="shared" si="10"/>
        <v>7.8899999999999935</v>
      </c>
      <c r="M62" s="5">
        <f t="shared" si="11"/>
        <v>15.945000000000004</v>
      </c>
      <c r="N62" s="13">
        <v>576.49</v>
      </c>
      <c r="O62" s="17">
        <f t="shared" si="6"/>
        <v>6.0970587787204699E-5</v>
      </c>
      <c r="P62" s="17">
        <f t="shared" si="8"/>
        <v>1.8552788142909848E-3</v>
      </c>
      <c r="Q62" s="11">
        <f t="shared" si="7"/>
        <v>576.47017278501869</v>
      </c>
      <c r="R62" s="15">
        <f t="shared" si="12"/>
        <v>1.982721498131923E-2</v>
      </c>
      <c r="S62" s="16">
        <f t="shared" si="13"/>
        <v>3.4394173224150393E-3</v>
      </c>
      <c r="V62" s="14">
        <v>0.1</v>
      </c>
      <c r="W62" s="9">
        <v>0.88</v>
      </c>
      <c r="X62" s="6">
        <v>600</v>
      </c>
      <c r="AE62">
        <v>3</v>
      </c>
      <c r="AJ62" s="13">
        <v>588</v>
      </c>
      <c r="AK62" s="13">
        <v>588</v>
      </c>
      <c r="AL62" s="10">
        <v>1.9965654217766193E-2</v>
      </c>
      <c r="AM62" s="1">
        <v>32</v>
      </c>
      <c r="AN62" s="2">
        <v>15</v>
      </c>
      <c r="AO62" s="3">
        <v>4.3400001525878906</v>
      </c>
      <c r="AP62" s="3">
        <v>4.3400001525878906</v>
      </c>
      <c r="AR62" s="1">
        <v>15.945000000000004</v>
      </c>
      <c r="AS62" s="1">
        <v>7.8899999999999935</v>
      </c>
      <c r="AT62" s="1">
        <v>12.000000000000007</v>
      </c>
      <c r="CG62">
        <v>145</v>
      </c>
      <c r="CH62" s="13">
        <v>588</v>
      </c>
      <c r="CI62" s="13">
        <v>588</v>
      </c>
      <c r="CJ62">
        <v>0</v>
      </c>
      <c r="CK62">
        <v>64</v>
      </c>
      <c r="CL62">
        <v>0.10000000149011612</v>
      </c>
      <c r="CM62" s="1">
        <v>32</v>
      </c>
      <c r="CR62">
        <v>4194.16455078125</v>
      </c>
      <c r="CS62">
        <v>7.0445815936182044E-7</v>
      </c>
      <c r="CT62">
        <v>0.63771635293960571</v>
      </c>
    </row>
    <row r="63" spans="1:98" x14ac:dyDescent="0.3">
      <c r="A63" s="4">
        <v>4.99</v>
      </c>
      <c r="B63" s="6">
        <v>580</v>
      </c>
      <c r="C63" s="5">
        <v>19.02</v>
      </c>
      <c r="D63">
        <v>1</v>
      </c>
      <c r="E63">
        <v>2</v>
      </c>
      <c r="F63">
        <v>654</v>
      </c>
      <c r="G63" s="12">
        <v>147.6</v>
      </c>
      <c r="H63" s="5">
        <v>30</v>
      </c>
      <c r="I63" s="5">
        <v>25.86</v>
      </c>
      <c r="J63" s="5">
        <v>19.57</v>
      </c>
      <c r="K63" s="5">
        <f t="shared" si="9"/>
        <v>27.93</v>
      </c>
      <c r="L63" s="5">
        <f t="shared" si="10"/>
        <v>4.1400000000000006</v>
      </c>
      <c r="M63" s="5">
        <f t="shared" si="11"/>
        <v>8.36</v>
      </c>
      <c r="N63" s="13">
        <v>302.97000000000003</v>
      </c>
      <c r="O63" s="17">
        <f t="shared" si="6"/>
        <v>5.9683277270271756E-5</v>
      </c>
      <c r="P63" s="17">
        <f t="shared" si="8"/>
        <v>1.8539915037740517E-3</v>
      </c>
      <c r="Q63" s="11">
        <f t="shared" si="7"/>
        <v>309.49412482859816</v>
      </c>
      <c r="R63" s="15">
        <f t="shared" si="12"/>
        <v>6.5241248285981328</v>
      </c>
      <c r="S63" s="16">
        <f t="shared" si="13"/>
        <v>2.107996341517393</v>
      </c>
      <c r="V63" s="14">
        <v>0.1</v>
      </c>
      <c r="W63" s="9">
        <v>0.88</v>
      </c>
      <c r="X63" s="6">
        <v>600</v>
      </c>
      <c r="AE63">
        <v>3</v>
      </c>
      <c r="AJ63" s="13">
        <v>306</v>
      </c>
      <c r="AK63" s="13">
        <v>306</v>
      </c>
      <c r="AL63" s="10">
        <v>1.0000990197049031E-2</v>
      </c>
      <c r="AM63" s="1">
        <v>25.700000762939453</v>
      </c>
      <c r="AN63" s="2">
        <v>21</v>
      </c>
      <c r="AO63" s="3">
        <v>4.2199997901916504</v>
      </c>
      <c r="AP63" s="3">
        <v>4.2199997901916504</v>
      </c>
      <c r="AR63" s="1">
        <v>8.36</v>
      </c>
      <c r="AS63" s="1">
        <v>4.1400000000000006</v>
      </c>
      <c r="AT63" s="1">
        <v>6.2899999999999991</v>
      </c>
      <c r="CG63">
        <v>150</v>
      </c>
      <c r="CH63" s="13">
        <v>306</v>
      </c>
      <c r="CI63" s="13">
        <v>306</v>
      </c>
      <c r="CJ63">
        <v>0</v>
      </c>
      <c r="CK63">
        <v>64</v>
      </c>
      <c r="CL63">
        <v>0.10000000149011612</v>
      </c>
      <c r="CM63" s="1">
        <v>25.700000762939453</v>
      </c>
      <c r="CR63">
        <v>4193.5400390625</v>
      </c>
      <c r="CS63">
        <v>8.3202172618257464E-7</v>
      </c>
      <c r="CT63">
        <v>0.62756240367889404</v>
      </c>
    </row>
    <row r="64" spans="1:98" x14ac:dyDescent="0.3">
      <c r="A64" s="4">
        <v>4.99</v>
      </c>
      <c r="B64" s="6">
        <v>580</v>
      </c>
      <c r="C64" s="5">
        <v>19.04</v>
      </c>
      <c r="D64">
        <v>1</v>
      </c>
      <c r="E64">
        <v>2</v>
      </c>
      <c r="F64">
        <v>654</v>
      </c>
      <c r="G64" s="12">
        <v>146.9</v>
      </c>
      <c r="H64" s="5">
        <v>34.9</v>
      </c>
      <c r="I64" s="5">
        <v>28.94</v>
      </c>
      <c r="J64" s="5">
        <v>19.850000000000001</v>
      </c>
      <c r="K64" s="5">
        <f t="shared" si="9"/>
        <v>31.92</v>
      </c>
      <c r="L64" s="5">
        <f t="shared" si="10"/>
        <v>5.9599999999999973</v>
      </c>
      <c r="M64" s="5">
        <f t="shared" si="11"/>
        <v>12.07</v>
      </c>
      <c r="N64" s="13">
        <v>436.15</v>
      </c>
      <c r="O64" s="17">
        <f t="shared" si="6"/>
        <v>6.0237164584119539E-5</v>
      </c>
      <c r="P64" s="17">
        <f t="shared" si="8"/>
        <v>1.8545453910878995E-3</v>
      </c>
      <c r="Q64" s="11">
        <f t="shared" si="7"/>
        <v>441.44520177052999</v>
      </c>
      <c r="R64" s="15">
        <f t="shared" si="12"/>
        <v>5.2952017705300136</v>
      </c>
      <c r="S64" s="16">
        <f t="shared" si="13"/>
        <v>1.1995150812133093</v>
      </c>
      <c r="V64" s="14">
        <v>0.1</v>
      </c>
      <c r="W64" s="9">
        <v>0.88</v>
      </c>
      <c r="X64" s="6">
        <v>600</v>
      </c>
      <c r="AE64">
        <v>3</v>
      </c>
      <c r="AJ64" s="13">
        <v>444</v>
      </c>
      <c r="AK64" s="13">
        <v>444</v>
      </c>
      <c r="AL64" s="10">
        <v>1.7998395047575499E-2</v>
      </c>
      <c r="AM64" s="1">
        <v>28.799999237060547</v>
      </c>
      <c r="AN64" s="2">
        <v>18</v>
      </c>
      <c r="AO64" s="3">
        <v>4.3000001907348633</v>
      </c>
      <c r="AP64" s="3">
        <v>4.3000001907348633</v>
      </c>
      <c r="AR64" s="1">
        <v>12.07</v>
      </c>
      <c r="AS64" s="1">
        <v>5.9599999999999973</v>
      </c>
      <c r="AT64" s="1">
        <v>9.0900000000000016</v>
      </c>
      <c r="CG64">
        <v>145</v>
      </c>
      <c r="CH64" s="13">
        <v>444</v>
      </c>
      <c r="CI64" s="13">
        <v>444</v>
      </c>
      <c r="CJ64">
        <v>0</v>
      </c>
      <c r="CK64">
        <v>64</v>
      </c>
      <c r="CL64">
        <v>0.10000000149011612</v>
      </c>
      <c r="CM64" s="1">
        <v>28.799999237060547</v>
      </c>
      <c r="CR64">
        <v>4193.88671875</v>
      </c>
      <c r="CS64">
        <v>7.6365500945030362E-7</v>
      </c>
      <c r="CT64">
        <v>0.63271182775497437</v>
      </c>
    </row>
    <row r="65" spans="1:98" x14ac:dyDescent="0.3">
      <c r="A65" s="4">
        <v>4.99</v>
      </c>
      <c r="B65" s="6">
        <v>580</v>
      </c>
      <c r="C65" s="5">
        <v>19.21</v>
      </c>
      <c r="D65">
        <v>1</v>
      </c>
      <c r="E65">
        <v>2</v>
      </c>
      <c r="F65">
        <v>653</v>
      </c>
      <c r="G65" s="12">
        <v>146</v>
      </c>
      <c r="H65" s="5">
        <v>39.909999999999997</v>
      </c>
      <c r="I65" s="5">
        <v>32.020000000000003</v>
      </c>
      <c r="J65" s="5">
        <v>20.02</v>
      </c>
      <c r="K65" s="5">
        <f t="shared" si="9"/>
        <v>35.965000000000003</v>
      </c>
      <c r="L65" s="5">
        <f t="shared" si="10"/>
        <v>7.8899999999999935</v>
      </c>
      <c r="M65" s="5">
        <f t="shared" si="11"/>
        <v>15.945000000000004</v>
      </c>
      <c r="N65" s="13">
        <v>576.49</v>
      </c>
      <c r="O65" s="17">
        <f t="shared" si="6"/>
        <v>6.0970587787204699E-5</v>
      </c>
      <c r="P65" s="17">
        <f t="shared" si="8"/>
        <v>1.8552788142909848E-3</v>
      </c>
      <c r="Q65" s="11">
        <f t="shared" si="7"/>
        <v>576.47017278501869</v>
      </c>
      <c r="R65" s="15">
        <f t="shared" si="12"/>
        <v>1.982721498131923E-2</v>
      </c>
      <c r="S65" s="16">
        <f t="shared" si="13"/>
        <v>3.4394173224150393E-3</v>
      </c>
      <c r="V65" s="14">
        <v>0.1</v>
      </c>
      <c r="W65" s="9">
        <v>0.88</v>
      </c>
      <c r="X65" s="6">
        <v>600</v>
      </c>
      <c r="AE65">
        <v>3</v>
      </c>
      <c r="AJ65" s="13">
        <v>588</v>
      </c>
      <c r="AK65" s="13">
        <v>588</v>
      </c>
      <c r="AL65" s="10">
        <v>1.9965654217766193E-2</v>
      </c>
      <c r="AM65" s="1">
        <v>32</v>
      </c>
      <c r="AN65" s="2">
        <v>15</v>
      </c>
      <c r="AO65" s="3">
        <v>4.3400001525878906</v>
      </c>
      <c r="AP65" s="3">
        <v>4.3400001525878906</v>
      </c>
      <c r="AR65" s="1">
        <v>15.945000000000004</v>
      </c>
      <c r="AS65" s="1">
        <v>7.8899999999999935</v>
      </c>
      <c r="AT65" s="1">
        <v>12.000000000000007</v>
      </c>
      <c r="CG65">
        <v>145</v>
      </c>
      <c r="CH65" s="13">
        <v>588</v>
      </c>
      <c r="CI65" s="13">
        <v>588</v>
      </c>
      <c r="CJ65">
        <v>0</v>
      </c>
      <c r="CK65">
        <v>64</v>
      </c>
      <c r="CL65">
        <v>0.10000000149011612</v>
      </c>
      <c r="CM65" s="1">
        <v>32</v>
      </c>
      <c r="CR65">
        <v>4194.16455078125</v>
      </c>
      <c r="CS65">
        <v>7.0445815936182044E-7</v>
      </c>
      <c r="CT65">
        <v>0.63771635293960571</v>
      </c>
    </row>
    <row r="66" spans="1:98" x14ac:dyDescent="0.3">
      <c r="A66" s="4">
        <v>4.99</v>
      </c>
      <c r="B66" s="6">
        <v>1360</v>
      </c>
      <c r="C66" s="5">
        <v>18.850000000000001</v>
      </c>
      <c r="D66">
        <v>2</v>
      </c>
      <c r="E66">
        <v>2</v>
      </c>
      <c r="F66">
        <v>650</v>
      </c>
      <c r="G66" s="12">
        <v>339.6</v>
      </c>
      <c r="H66" s="5">
        <v>40.03</v>
      </c>
      <c r="I66" s="5">
        <v>34.78</v>
      </c>
      <c r="J66" s="5">
        <v>19.77</v>
      </c>
      <c r="K66" s="5">
        <f t="shared" si="9"/>
        <v>37.405000000000001</v>
      </c>
      <c r="L66" s="5">
        <f t="shared" si="10"/>
        <v>5.25</v>
      </c>
      <c r="M66" s="5">
        <f t="shared" si="11"/>
        <v>17.635000000000002</v>
      </c>
      <c r="N66" s="13">
        <v>1706.38</v>
      </c>
      <c r="O66" s="17">
        <f t="shared" si="6"/>
        <v>6.4514072950115173E-5</v>
      </c>
      <c r="P66" s="17">
        <f t="shared" si="8"/>
        <v>1.8588222994538953E-3</v>
      </c>
      <c r="Q66" s="11">
        <f t="shared" si="7"/>
        <v>1612.6002997322078</v>
      </c>
      <c r="R66" s="15">
        <f t="shared" si="12"/>
        <v>93.77970026779235</v>
      </c>
      <c r="S66" s="16">
        <f t="shared" si="13"/>
        <v>5.8154336374218518</v>
      </c>
      <c r="V66" s="14">
        <v>0.1</v>
      </c>
      <c r="W66" s="9">
        <v>0.89</v>
      </c>
      <c r="X66" s="6">
        <v>1400</v>
      </c>
      <c r="AE66">
        <v>3</v>
      </c>
      <c r="AJ66" s="13">
        <v>1701</v>
      </c>
      <c r="AK66" s="13">
        <v>1701</v>
      </c>
      <c r="AL66" s="10">
        <v>-3.1528733341928961E-3</v>
      </c>
      <c r="AM66" s="1">
        <v>34.599998474121094</v>
      </c>
      <c r="AN66" s="2">
        <v>13</v>
      </c>
      <c r="AO66" s="3">
        <v>4.2800002098083496</v>
      </c>
      <c r="AP66" s="3">
        <v>4.2800002098083496</v>
      </c>
      <c r="AR66" s="1">
        <v>17.635000000000002</v>
      </c>
      <c r="AS66" s="1">
        <v>5.25</v>
      </c>
      <c r="AT66" s="1">
        <v>15.010000000000002</v>
      </c>
      <c r="CG66">
        <v>340</v>
      </c>
      <c r="CH66" s="13">
        <v>1701</v>
      </c>
      <c r="CI66" s="13">
        <v>1701</v>
      </c>
      <c r="CJ66">
        <v>0</v>
      </c>
      <c r="CK66">
        <v>280</v>
      </c>
      <c r="CL66">
        <v>2.5</v>
      </c>
      <c r="CM66" s="1">
        <v>34.599998474121094</v>
      </c>
      <c r="CR66">
        <v>4194.2509765625</v>
      </c>
      <c r="CS66">
        <v>6.8549695697583957E-7</v>
      </c>
      <c r="CT66">
        <v>0.6394461989402771</v>
      </c>
    </row>
    <row r="67" spans="1:98" x14ac:dyDescent="0.3">
      <c r="A67" s="4">
        <v>4.99</v>
      </c>
      <c r="B67" s="6">
        <v>1360</v>
      </c>
      <c r="C67" s="5">
        <v>18.940000000000001</v>
      </c>
      <c r="D67">
        <v>2</v>
      </c>
      <c r="E67">
        <v>2</v>
      </c>
      <c r="F67">
        <v>650</v>
      </c>
      <c r="G67" s="12">
        <v>341.5</v>
      </c>
      <c r="H67" s="5">
        <v>34.97</v>
      </c>
      <c r="I67" s="5">
        <v>31.1</v>
      </c>
      <c r="J67" s="5">
        <v>20.05</v>
      </c>
      <c r="K67" s="5">
        <f t="shared" si="9"/>
        <v>33.034999999999997</v>
      </c>
      <c r="L67" s="5">
        <f t="shared" si="10"/>
        <v>3.8699999999999974</v>
      </c>
      <c r="M67" s="5">
        <f t="shared" si="11"/>
        <v>12.984999999999996</v>
      </c>
      <c r="N67" s="13">
        <v>1259.76</v>
      </c>
      <c r="O67" s="17">
        <f t="shared" si="6"/>
        <v>6.4019091501355563E-5</v>
      </c>
      <c r="P67" s="17">
        <f t="shared" si="8"/>
        <v>1.8583273180051356E-3</v>
      </c>
      <c r="Q67" s="11">
        <f t="shared" si="7"/>
        <v>1199.7306460027094</v>
      </c>
      <c r="R67" s="15">
        <f t="shared" si="12"/>
        <v>60.029353997290627</v>
      </c>
      <c r="S67" s="16">
        <f t="shared" si="13"/>
        <v>5.0035692759285544</v>
      </c>
      <c r="V67" s="14">
        <v>0.1</v>
      </c>
      <c r="W67" s="9">
        <v>0.89</v>
      </c>
      <c r="X67" s="6">
        <v>1400</v>
      </c>
      <c r="AE67">
        <v>3</v>
      </c>
      <c r="AJ67" s="13">
        <v>1254</v>
      </c>
      <c r="AK67" s="13">
        <v>1254</v>
      </c>
      <c r="AL67" s="10">
        <v>-4.5722994856163268E-3</v>
      </c>
      <c r="AM67" s="1">
        <v>31</v>
      </c>
      <c r="AN67" s="2">
        <v>16</v>
      </c>
      <c r="AO67" s="3">
        <v>4.3499999046325684</v>
      </c>
      <c r="AP67" s="3">
        <v>4.3499999046325684</v>
      </c>
      <c r="AR67" s="1">
        <v>12.984999999999996</v>
      </c>
      <c r="AS67" s="1">
        <v>3.8699999999999974</v>
      </c>
      <c r="AT67" s="1">
        <v>11.049999999999997</v>
      </c>
      <c r="CG67">
        <v>340</v>
      </c>
      <c r="CH67" s="13">
        <v>1254</v>
      </c>
      <c r="CI67" s="13">
        <v>1254</v>
      </c>
      <c r="CJ67">
        <v>0</v>
      </c>
      <c r="CK67">
        <v>279</v>
      </c>
      <c r="CL67">
        <v>2.5999999046325684</v>
      </c>
      <c r="CM67" s="1">
        <v>31</v>
      </c>
      <c r="CR67">
        <v>4193.96923828125</v>
      </c>
      <c r="CS67">
        <v>7.4640024649852421E-7</v>
      </c>
      <c r="CT67">
        <v>0.63411277532577515</v>
      </c>
    </row>
    <row r="68" spans="1:98" x14ac:dyDescent="0.3">
      <c r="A68" s="4">
        <v>4.99</v>
      </c>
      <c r="B68" s="6">
        <v>1360</v>
      </c>
      <c r="C68" s="5">
        <v>19.03</v>
      </c>
      <c r="D68">
        <v>2</v>
      </c>
      <c r="E68">
        <v>2</v>
      </c>
      <c r="F68">
        <v>650</v>
      </c>
      <c r="G68" s="12">
        <v>343.2</v>
      </c>
      <c r="H68" s="5">
        <v>29.99</v>
      </c>
      <c r="I68" s="5">
        <v>27.35</v>
      </c>
      <c r="J68" s="5">
        <v>19.829999999999998</v>
      </c>
      <c r="K68" s="5">
        <f t="shared" si="9"/>
        <v>28.67</v>
      </c>
      <c r="L68" s="5">
        <f t="shared" si="10"/>
        <v>2.639999999999997</v>
      </c>
      <c r="M68" s="5">
        <f t="shared" si="11"/>
        <v>8.8400000000000034</v>
      </c>
      <c r="N68" s="13">
        <v>859.7</v>
      </c>
      <c r="O68" s="17">
        <f t="shared" si="6"/>
        <v>6.3352326961032317E-5</v>
      </c>
      <c r="P68" s="17">
        <f t="shared" ref="P68:P71" si="14">O68+L68^$U$1*$R$1</f>
        <v>1.8576605534648123E-3</v>
      </c>
      <c r="Q68" s="11">
        <f t="shared" si="7"/>
        <v>827.35100789068474</v>
      </c>
      <c r="R68" s="15">
        <f t="shared" si="12"/>
        <v>32.348992109315304</v>
      </c>
      <c r="S68" s="16">
        <f t="shared" si="13"/>
        <v>3.9099477489957346</v>
      </c>
      <c r="V68" s="14">
        <v>0.1</v>
      </c>
      <c r="W68" s="9">
        <v>0.89</v>
      </c>
      <c r="X68" s="6">
        <v>1400</v>
      </c>
      <c r="AE68">
        <v>3</v>
      </c>
      <c r="AJ68" s="13">
        <v>855</v>
      </c>
      <c r="AK68" s="13">
        <v>855</v>
      </c>
      <c r="AL68" s="10">
        <v>-5.4670233802489587E-3</v>
      </c>
      <c r="AM68" s="1">
        <v>27.200000762939453</v>
      </c>
      <c r="AN68" s="2">
        <v>19</v>
      </c>
      <c r="AO68" s="3">
        <v>4.2899999618530273</v>
      </c>
      <c r="AP68" s="3">
        <v>4.2899999618530273</v>
      </c>
      <c r="AR68" s="1">
        <v>8.8400000000000034</v>
      </c>
      <c r="AS68" s="1">
        <v>2.639999999999997</v>
      </c>
      <c r="AT68" s="1">
        <v>7.5200000000000049</v>
      </c>
      <c r="CG68">
        <v>345</v>
      </c>
      <c r="CH68" s="13">
        <v>855</v>
      </c>
      <c r="CI68" s="13">
        <v>855</v>
      </c>
      <c r="CJ68">
        <v>0</v>
      </c>
      <c r="CK68">
        <v>279</v>
      </c>
      <c r="CL68">
        <v>2.5999999046325684</v>
      </c>
      <c r="CM68" s="1">
        <v>27.200000762939453</v>
      </c>
      <c r="CR68">
        <v>4193.61083984375</v>
      </c>
      <c r="CS68">
        <v>8.1850816968653817E-7</v>
      </c>
      <c r="CT68">
        <v>0.62853366136550903</v>
      </c>
    </row>
    <row r="69" spans="1:98" x14ac:dyDescent="0.3">
      <c r="A69" s="4">
        <v>6</v>
      </c>
      <c r="B69" s="6">
        <v>1360</v>
      </c>
      <c r="C69" s="5">
        <v>18.84</v>
      </c>
      <c r="D69">
        <v>2</v>
      </c>
      <c r="E69">
        <v>2</v>
      </c>
      <c r="F69">
        <v>737</v>
      </c>
      <c r="G69" s="12">
        <v>397.6</v>
      </c>
      <c r="H69" s="5">
        <v>40</v>
      </c>
      <c r="I69" s="5">
        <v>34.979999999999997</v>
      </c>
      <c r="J69" s="5">
        <v>19.96</v>
      </c>
      <c r="K69" s="5">
        <f t="shared" si="9"/>
        <v>37.489999999999995</v>
      </c>
      <c r="L69" s="5">
        <f t="shared" si="10"/>
        <v>5.0200000000000031</v>
      </c>
      <c r="M69" s="5">
        <f t="shared" si="11"/>
        <v>17.529999999999994</v>
      </c>
      <c r="N69" s="13">
        <v>1928.79</v>
      </c>
      <c r="O69" s="17">
        <f t="shared" ref="O69:O71" si="15">N69/(M69^$Q$1*B69*F69^$S$1*L69^$U$2*K69^$T$1)</f>
        <v>6.3742370577192021E-5</v>
      </c>
      <c r="P69" s="17">
        <f t="shared" si="14"/>
        <v>1.8580505970809721E-3</v>
      </c>
      <c r="Q69" s="11">
        <f t="shared" ref="Q69:Q71" si="16">M69^$Q$1*B69*F69^$S$1*L69^$U$2*K69^$T$1*($P$1-L69^$U$1*$R$1)</f>
        <v>1844.8547544774183</v>
      </c>
      <c r="R69" s="15">
        <f t="shared" si="12"/>
        <v>83.935245522581681</v>
      </c>
      <c r="S69" s="16">
        <f t="shared" si="13"/>
        <v>4.5496939701552552</v>
      </c>
      <c r="V69" s="14">
        <v>0.1</v>
      </c>
      <c r="W69" s="9">
        <v>0.9</v>
      </c>
      <c r="X69" s="6">
        <v>1400</v>
      </c>
      <c r="AE69">
        <v>3</v>
      </c>
      <c r="AJ69" s="13">
        <v>1941</v>
      </c>
      <c r="AK69" s="13">
        <v>1941</v>
      </c>
      <c r="AL69" s="10">
        <v>6.3303936664955707E-3</v>
      </c>
      <c r="AM69" s="1">
        <v>34.5</v>
      </c>
      <c r="AN69" s="2">
        <v>13</v>
      </c>
      <c r="AO69" s="3">
        <v>4.3299999237060547</v>
      </c>
      <c r="AP69" s="3">
        <v>4.3299999237060547</v>
      </c>
      <c r="AR69" s="1">
        <v>17.529999999999994</v>
      </c>
      <c r="AS69" s="1">
        <v>5.0200000000000031</v>
      </c>
      <c r="AT69" s="1">
        <v>15.019999999999992</v>
      </c>
      <c r="CG69">
        <v>400</v>
      </c>
      <c r="CH69" s="13">
        <v>1941</v>
      </c>
      <c r="CI69" s="13">
        <v>1941</v>
      </c>
      <c r="CJ69">
        <v>0</v>
      </c>
      <c r="CK69">
        <v>334</v>
      </c>
      <c r="CL69">
        <v>3.5</v>
      </c>
      <c r="CM69" s="1">
        <v>34.5</v>
      </c>
      <c r="CR69">
        <v>4194.255859375</v>
      </c>
      <c r="CS69">
        <v>6.8440931499935687E-7</v>
      </c>
      <c r="CT69">
        <v>0.63954746723175049</v>
      </c>
    </row>
    <row r="70" spans="1:98" x14ac:dyDescent="0.3">
      <c r="A70" s="4">
        <v>6</v>
      </c>
      <c r="B70" s="6">
        <v>1360</v>
      </c>
      <c r="C70" s="5">
        <v>18</v>
      </c>
      <c r="D70">
        <v>2</v>
      </c>
      <c r="E70">
        <v>2</v>
      </c>
      <c r="F70">
        <v>737</v>
      </c>
      <c r="G70" s="12">
        <v>399.4</v>
      </c>
      <c r="H70" s="5">
        <v>35</v>
      </c>
      <c r="I70" s="5">
        <v>31.06</v>
      </c>
      <c r="J70" s="5">
        <v>19.27</v>
      </c>
      <c r="K70" s="5">
        <f t="shared" si="9"/>
        <v>33.03</v>
      </c>
      <c r="L70" s="5">
        <f t="shared" si="10"/>
        <v>3.9400000000000013</v>
      </c>
      <c r="M70" s="5">
        <f t="shared" si="11"/>
        <v>13.760000000000002</v>
      </c>
      <c r="N70" s="13">
        <v>1520.76</v>
      </c>
      <c r="O70" s="17">
        <f t="shared" si="15"/>
        <v>6.3495678375657353E-5</v>
      </c>
      <c r="P70" s="17">
        <f t="shared" si="14"/>
        <v>1.8578039048794373E-3</v>
      </c>
      <c r="Q70" s="11">
        <f t="shared" si="16"/>
        <v>1460.2323257429182</v>
      </c>
      <c r="R70" s="15">
        <f t="shared" si="12"/>
        <v>60.527674257081799</v>
      </c>
      <c r="S70" s="16">
        <f t="shared" si="13"/>
        <v>4.1450715197862253</v>
      </c>
      <c r="V70" s="14">
        <v>0.1</v>
      </c>
      <c r="W70" s="9">
        <v>0.9</v>
      </c>
      <c r="X70" s="6">
        <v>1400</v>
      </c>
      <c r="AE70">
        <v>3</v>
      </c>
      <c r="AJ70" s="13">
        <v>1528</v>
      </c>
      <c r="AK70" s="13">
        <v>1528</v>
      </c>
      <c r="AL70" s="10">
        <v>4.7607775059839152E-3</v>
      </c>
      <c r="AM70" s="1">
        <v>30.600000381469727</v>
      </c>
      <c r="AN70" s="2">
        <v>15</v>
      </c>
      <c r="AO70" s="3">
        <v>4.1399998664855957</v>
      </c>
      <c r="AP70" s="3">
        <v>4.1399998664855957</v>
      </c>
      <c r="AR70" s="1">
        <v>13.760000000000002</v>
      </c>
      <c r="AS70" s="1">
        <v>3.9400000000000013</v>
      </c>
      <c r="AT70" s="1">
        <v>11.790000000000001</v>
      </c>
      <c r="CG70">
        <v>400</v>
      </c>
      <c r="CH70" s="13">
        <v>1528</v>
      </c>
      <c r="CI70" s="13">
        <v>1528</v>
      </c>
      <c r="CJ70">
        <v>0</v>
      </c>
      <c r="CK70">
        <v>334</v>
      </c>
      <c r="CL70">
        <v>3.5999999046325684</v>
      </c>
      <c r="CM70" s="1">
        <v>30.600000381469727</v>
      </c>
      <c r="CR70">
        <v>4193.96923828125</v>
      </c>
      <c r="CS70">
        <v>7.4647596193244681E-7</v>
      </c>
      <c r="CT70">
        <v>0.63410657644271851</v>
      </c>
    </row>
    <row r="71" spans="1:98" x14ac:dyDescent="0.3">
      <c r="A71" s="4">
        <v>6</v>
      </c>
      <c r="B71" s="6">
        <v>1360</v>
      </c>
      <c r="C71" s="5">
        <v>18</v>
      </c>
      <c r="D71">
        <v>2</v>
      </c>
      <c r="E71">
        <v>2</v>
      </c>
      <c r="F71">
        <v>736</v>
      </c>
      <c r="G71" s="12">
        <v>400.6</v>
      </c>
      <c r="H71" s="5">
        <v>29.99</v>
      </c>
      <c r="I71" s="5">
        <v>27.2</v>
      </c>
      <c r="J71" s="5">
        <v>18.87</v>
      </c>
      <c r="K71" s="5">
        <f t="shared" si="9"/>
        <v>28.594999999999999</v>
      </c>
      <c r="L71" s="5">
        <f t="shared" si="10"/>
        <v>2.7899999999999991</v>
      </c>
      <c r="M71" s="5">
        <f t="shared" si="11"/>
        <v>9.7249999999999979</v>
      </c>
      <c r="N71" s="13">
        <v>1076.8</v>
      </c>
      <c r="O71" s="17">
        <f t="shared" si="15"/>
        <v>6.2969708190232639E-5</v>
      </c>
      <c r="P71" s="17">
        <f t="shared" si="14"/>
        <v>1.8572779346940126E-3</v>
      </c>
      <c r="Q71" s="11">
        <f t="shared" si="16"/>
        <v>1042.5786113459942</v>
      </c>
      <c r="R71" s="15">
        <f t="shared" si="12"/>
        <v>34.22138865400575</v>
      </c>
      <c r="S71" s="16">
        <f t="shared" si="13"/>
        <v>3.2823796960331997</v>
      </c>
      <c r="V71" s="14">
        <v>0.1</v>
      </c>
      <c r="W71" s="9">
        <v>0.9</v>
      </c>
      <c r="X71" s="6">
        <v>1400</v>
      </c>
      <c r="AE71">
        <v>3</v>
      </c>
      <c r="AJ71" s="13">
        <v>1080</v>
      </c>
      <c r="AK71" s="13">
        <v>1080</v>
      </c>
      <c r="AL71" s="10">
        <v>2.9717682020802272E-3</v>
      </c>
      <c r="AM71" s="1">
        <v>26.799999237060547</v>
      </c>
      <c r="AN71" s="2">
        <v>18</v>
      </c>
      <c r="AO71" s="3">
        <v>4.0399999618530273</v>
      </c>
      <c r="AP71" s="3">
        <v>4.0399999618530273</v>
      </c>
      <c r="AR71" s="1">
        <v>9.7249999999999979</v>
      </c>
      <c r="AS71" s="1">
        <v>2.7899999999999991</v>
      </c>
      <c r="AT71" s="1">
        <v>8.3299999999999983</v>
      </c>
      <c r="CG71">
        <v>400</v>
      </c>
      <c r="CH71" s="13">
        <v>1080</v>
      </c>
      <c r="CI71" s="13">
        <v>1080</v>
      </c>
      <c r="CJ71">
        <v>0</v>
      </c>
      <c r="CK71">
        <v>333</v>
      </c>
      <c r="CL71">
        <v>3.5999999046325684</v>
      </c>
      <c r="CM71" s="1">
        <v>26.799999237060547</v>
      </c>
      <c r="CR71">
        <v>4193.60400390625</v>
      </c>
      <c r="CS71">
        <v>8.1985962196995388E-7</v>
      </c>
      <c r="CT71">
        <v>0.62843555212020874</v>
      </c>
    </row>
    <row r="72" spans="1:98" x14ac:dyDescent="0.3">
      <c r="A72" s="4"/>
      <c r="B72" s="6"/>
      <c r="C72" s="5"/>
      <c r="G72" s="12"/>
      <c r="H72" s="5"/>
      <c r="I72" s="5"/>
      <c r="J72" s="5"/>
      <c r="K72" s="5"/>
      <c r="L72" s="5"/>
      <c r="M72" s="5"/>
      <c r="N72" s="13"/>
      <c r="V72" s="14"/>
      <c r="W72" s="9"/>
      <c r="X72" s="6"/>
      <c r="AJ72" s="13"/>
      <c r="AK72" s="13"/>
      <c r="AL72" s="10"/>
      <c r="AM72" s="1"/>
      <c r="AN72" s="2"/>
      <c r="AO72" s="3"/>
      <c r="AP72" s="3"/>
      <c r="AR72" s="1"/>
      <c r="AS72" s="1"/>
      <c r="AT72" s="1"/>
      <c r="CH72" s="13"/>
      <c r="CI72" s="13"/>
      <c r="CM72" s="1"/>
    </row>
    <row r="73" spans="1:98" x14ac:dyDescent="0.3">
      <c r="A73" s="4"/>
      <c r="B73" s="6"/>
      <c r="C73" s="5"/>
      <c r="G73" s="12"/>
      <c r="H73" s="5"/>
      <c r="I73" s="5"/>
      <c r="J73" s="5"/>
      <c r="K73" s="5"/>
      <c r="L73" s="5"/>
      <c r="M73" s="5"/>
      <c r="N73" s="13"/>
      <c r="S73" s="9">
        <f>MEDIAN(S78:S98)</f>
        <v>1.3552805410045665</v>
      </c>
      <c r="U73">
        <v>-0.17953927378219914</v>
      </c>
      <c r="V73" s="14"/>
      <c r="W73" s="9"/>
      <c r="X73" s="6"/>
      <c r="AJ73" s="13"/>
      <c r="AK73" s="13"/>
      <c r="AL73" s="10"/>
      <c r="AM73" s="1"/>
      <c r="AN73" s="2"/>
      <c r="AO73" s="3"/>
      <c r="AP73" s="3"/>
      <c r="AR73" s="1"/>
      <c r="AS73" s="1"/>
      <c r="AT73" s="1"/>
      <c r="CH73" s="13"/>
      <c r="CI73" s="13"/>
      <c r="CM73" s="1"/>
    </row>
    <row r="74" spans="1:98" x14ac:dyDescent="0.3">
      <c r="A74" s="4"/>
      <c r="B74" s="6"/>
      <c r="C74" s="5"/>
      <c r="G74" s="12"/>
      <c r="H74" s="5"/>
      <c r="I74" s="5"/>
      <c r="J74" s="5"/>
      <c r="K74" s="5"/>
      <c r="L74" s="5"/>
      <c r="M74" s="5"/>
      <c r="N74" s="13"/>
      <c r="P74">
        <f>AVERAGE(P78:P98)</f>
        <v>1.5738146300182043E-4</v>
      </c>
      <c r="Q74" s="18">
        <v>1.4264143175642756</v>
      </c>
      <c r="R74" s="18">
        <v>-2.1772677945305701E-4</v>
      </c>
      <c r="S74" s="20">
        <v>0.920470679863436</v>
      </c>
      <c r="T74" s="18">
        <v>-0.33876563292773648</v>
      </c>
      <c r="U74" s="18">
        <v>-1.9999999999999973</v>
      </c>
      <c r="V74" s="14"/>
      <c r="W74" s="9"/>
      <c r="X74" s="6"/>
      <c r="AJ74" s="13"/>
      <c r="AK74" s="13"/>
      <c r="AL74" s="10"/>
      <c r="AM74" s="1"/>
      <c r="AN74" s="2"/>
      <c r="AO74" s="3"/>
      <c r="AP74" s="3"/>
      <c r="AR74" s="1"/>
      <c r="AS74" s="1"/>
      <c r="AT74" s="1"/>
      <c r="CH74" s="13"/>
      <c r="CI74" s="13"/>
      <c r="CM74" s="1"/>
    </row>
    <row r="75" spans="1:98" x14ac:dyDescent="0.3">
      <c r="A75" t="s">
        <v>48</v>
      </c>
      <c r="B75" s="6"/>
      <c r="C75" s="5"/>
      <c r="G75" s="12"/>
      <c r="H75" s="5"/>
      <c r="I75" s="5"/>
      <c r="J75" s="5"/>
      <c r="K75" s="5"/>
      <c r="L75" s="5"/>
      <c r="M75" s="5"/>
      <c r="N75" s="13"/>
      <c r="O75" s="17">
        <f>_xlfn.STDEV.P(O78:O98)</f>
        <v>9.4011945862688257E-6</v>
      </c>
      <c r="P75" s="17">
        <f>_xlfn.STDEV.P(P78:P98)</f>
        <v>8.1113814180030037E-6</v>
      </c>
      <c r="S75" s="9">
        <f>AVERAGE(S78:S98)</f>
        <v>2.9091634019936801</v>
      </c>
      <c r="T75">
        <f>MAX(S76:S97)</f>
        <v>61.399052959397714</v>
      </c>
      <c r="V75" s="14"/>
      <c r="W75" s="9"/>
      <c r="X75" s="6"/>
      <c r="AJ75" s="13"/>
      <c r="AK75" s="13"/>
      <c r="AL75" s="10"/>
      <c r="AM75" s="1"/>
      <c r="AN75" s="2"/>
      <c r="AO75" s="3"/>
      <c r="AP75" s="3"/>
      <c r="AR75" s="1"/>
      <c r="AS75" s="1"/>
      <c r="CH75" s="13"/>
      <c r="CI75" s="13"/>
    </row>
    <row r="76" spans="1:98" x14ac:dyDescent="0.3">
      <c r="A76" s="4">
        <v>5.0999999999999996</v>
      </c>
      <c r="B76" s="6">
        <v>1360</v>
      </c>
      <c r="C76" s="5">
        <v>22.82</v>
      </c>
      <c r="D76">
        <v>2</v>
      </c>
      <c r="E76">
        <v>4</v>
      </c>
      <c r="F76">
        <v>671</v>
      </c>
      <c r="G76" s="12">
        <v>355.3</v>
      </c>
      <c r="H76" s="5">
        <v>41.27</v>
      </c>
      <c r="I76" s="5">
        <v>35.51</v>
      </c>
      <c r="J76" s="5">
        <v>24</v>
      </c>
      <c r="K76" s="5">
        <f t="shared" ref="K76:K98" si="17">(H76+I76)/2</f>
        <v>38.39</v>
      </c>
      <c r="L76" s="5">
        <f t="shared" ref="L76:L98" si="18">H76-I76</f>
        <v>5.7600000000000051</v>
      </c>
      <c r="M76" s="5">
        <f t="shared" ref="M76:M98" si="19">K76-J76</f>
        <v>14.39</v>
      </c>
      <c r="N76" s="13">
        <v>1370</v>
      </c>
      <c r="O76" s="17">
        <f t="shared" ref="O76:O98" si="20">N76/(M76^$Q$74*B76*F76^$S$74*L76^$U$73*K76^$T$74)</f>
        <v>2.6460394429310299E-4</v>
      </c>
      <c r="P76">
        <f t="shared" ref="P76:P98" si="21">O76+L76^$U$74*$R$74</f>
        <v>2.5804148108138613E-4</v>
      </c>
      <c r="Q76" s="11">
        <f>M76^$Q$74*B76*F76^$S$74*L76^$U$73*K76^$T$74*($P$74-L76^$U$74*$R$74)</f>
        <v>848.8277811299447</v>
      </c>
      <c r="R76" s="15">
        <f t="shared" ref="R76:R98" si="22">ABS(Q76-N76)</f>
        <v>521.1722188700553</v>
      </c>
      <c r="S76" s="9">
        <f t="shared" ref="S76:S98" si="23">ABS((1-N76/Q76)*100)</f>
        <v>61.399052959397714</v>
      </c>
      <c r="V76" s="14">
        <v>0.01</v>
      </c>
      <c r="W76" s="9">
        <v>0.62</v>
      </c>
      <c r="X76" s="6">
        <v>800</v>
      </c>
      <c r="AE76">
        <v>1</v>
      </c>
      <c r="AJ76" s="13">
        <v>1990</v>
      </c>
      <c r="AK76" s="13">
        <v>1990</v>
      </c>
      <c r="AL76" s="10">
        <v>-1.2058839591121417E-2</v>
      </c>
      <c r="AM76" s="1">
        <v>50.200000762939453</v>
      </c>
      <c r="AN76" s="2">
        <v>6</v>
      </c>
      <c r="AO76" s="3">
        <v>4.3299999237060547</v>
      </c>
      <c r="AP76" s="3">
        <v>4.3299999237060547</v>
      </c>
      <c r="AR76" s="1">
        <v>50.22</v>
      </c>
      <c r="AS76" s="1">
        <v>10.299999999999997</v>
      </c>
      <c r="AT76" s="1">
        <v>45.07</v>
      </c>
      <c r="CG76">
        <v>195</v>
      </c>
      <c r="CH76" s="13">
        <v>1990</v>
      </c>
      <c r="CI76" s="13">
        <v>1990</v>
      </c>
      <c r="CJ76">
        <v>0</v>
      </c>
      <c r="CK76">
        <v>169</v>
      </c>
      <c r="CL76">
        <v>3.0999999046325684</v>
      </c>
      <c r="CM76" s="1">
        <v>50.200000762939453</v>
      </c>
      <c r="CR76">
        <v>4197.673828125</v>
      </c>
      <c r="CS76">
        <v>4.1472947032161755E-7</v>
      </c>
      <c r="CT76">
        <v>0.67057043313980103</v>
      </c>
    </row>
    <row r="77" spans="1:98" x14ac:dyDescent="0.3">
      <c r="A77" s="4">
        <v>4.97</v>
      </c>
      <c r="B77" s="6">
        <v>1360</v>
      </c>
      <c r="C77" s="5">
        <v>26.17</v>
      </c>
      <c r="D77">
        <v>2</v>
      </c>
      <c r="E77">
        <v>4</v>
      </c>
      <c r="F77">
        <v>659</v>
      </c>
      <c r="G77" s="12">
        <v>350.5</v>
      </c>
      <c r="H77" s="5">
        <v>39.979999999999997</v>
      </c>
      <c r="I77" s="5">
        <v>29.86</v>
      </c>
      <c r="J77" s="5">
        <v>26.25</v>
      </c>
      <c r="K77" s="5">
        <f t="shared" si="17"/>
        <v>34.92</v>
      </c>
      <c r="L77" s="5">
        <f t="shared" si="18"/>
        <v>10.119999999999997</v>
      </c>
      <c r="M77" s="5">
        <f t="shared" si="19"/>
        <v>8.6700000000000017</v>
      </c>
      <c r="N77" s="13">
        <v>297.88</v>
      </c>
      <c r="O77" s="17">
        <f t="shared" si="20"/>
        <v>1.2912403566478164E-4</v>
      </c>
      <c r="P77">
        <f t="shared" si="21"/>
        <v>1.2699809654437419E-4</v>
      </c>
      <c r="Q77" s="11">
        <f t="shared" ref="Q77:Q98" si="24">M77^$Q$74*B77*F77^$S$74*L77^$U$73*K77^$T$74*($P$74-L77^$U$74*$R$74)</f>
        <v>367.97227332268568</v>
      </c>
      <c r="R77" s="15">
        <f t="shared" si="22"/>
        <v>70.092273322685685</v>
      </c>
      <c r="S77" s="9">
        <f t="shared" si="23"/>
        <v>19.048248578560624</v>
      </c>
      <c r="V77" s="14">
        <v>0.01</v>
      </c>
      <c r="W77" s="9">
        <v>0.6</v>
      </c>
      <c r="X77" s="6">
        <v>800</v>
      </c>
      <c r="AE77">
        <v>1</v>
      </c>
      <c r="AJ77" s="13">
        <v>656</v>
      </c>
      <c r="AK77" s="13">
        <v>656</v>
      </c>
      <c r="AL77" s="10">
        <v>-2.8032952053576699E-2</v>
      </c>
      <c r="AM77" s="1">
        <v>29.600000381469727</v>
      </c>
      <c r="AN77" s="2">
        <v>17</v>
      </c>
      <c r="AO77" s="3">
        <v>4.320000171661377</v>
      </c>
      <c r="AP77" s="3">
        <v>4.320000171661377</v>
      </c>
      <c r="AR77" s="1">
        <v>17.545000000000002</v>
      </c>
      <c r="AS77" s="1">
        <v>4.8299999999999983</v>
      </c>
      <c r="AT77" s="1">
        <v>15.130000000000003</v>
      </c>
      <c r="CG77">
        <v>200</v>
      </c>
      <c r="CH77" s="13">
        <v>656</v>
      </c>
      <c r="CI77" s="13">
        <v>656</v>
      </c>
      <c r="CJ77">
        <v>0</v>
      </c>
      <c r="CK77">
        <v>117</v>
      </c>
      <c r="CL77">
        <v>1.7999999523162842</v>
      </c>
      <c r="CM77" s="1">
        <v>29.600000381469727</v>
      </c>
      <c r="CR77">
        <v>4194.25537109375</v>
      </c>
      <c r="CS77">
        <v>6.8460099100775551E-7</v>
      </c>
      <c r="CT77">
        <v>0.63952958583831787</v>
      </c>
    </row>
    <row r="78" spans="1:98" x14ac:dyDescent="0.3">
      <c r="A78" s="4">
        <v>4.97</v>
      </c>
      <c r="B78" s="6">
        <v>1360</v>
      </c>
      <c r="C78" s="5">
        <v>26.26</v>
      </c>
      <c r="D78">
        <v>2</v>
      </c>
      <c r="E78">
        <v>4</v>
      </c>
      <c r="F78">
        <v>658</v>
      </c>
      <c r="G78" s="12">
        <v>350.6</v>
      </c>
      <c r="H78" s="5">
        <v>34.979999999999997</v>
      </c>
      <c r="I78" s="5">
        <v>30.02</v>
      </c>
      <c r="J78" s="5">
        <v>26.51</v>
      </c>
      <c r="K78" s="5">
        <f t="shared" si="17"/>
        <v>32.5</v>
      </c>
      <c r="L78" s="5">
        <f t="shared" si="18"/>
        <v>4.9599999999999973</v>
      </c>
      <c r="M78" s="5">
        <f t="shared" si="19"/>
        <v>5.9899999999999984</v>
      </c>
      <c r="N78" s="13">
        <v>263.49</v>
      </c>
      <c r="O78" s="17">
        <f t="shared" si="20"/>
        <v>1.6643266727431102E-4</v>
      </c>
      <c r="P78">
        <f t="shared" si="21"/>
        <v>1.5758256079940458E-4</v>
      </c>
      <c r="Q78" s="11">
        <f t="shared" si="24"/>
        <v>263.17162945680542</v>
      </c>
      <c r="R78" s="15">
        <f t="shared" si="22"/>
        <v>0.31837054319458957</v>
      </c>
      <c r="S78" s="9">
        <f t="shared" si="23"/>
        <v>0.12097449252099768</v>
      </c>
      <c r="V78" s="14">
        <v>0.01</v>
      </c>
      <c r="W78" s="9">
        <v>0.61</v>
      </c>
      <c r="X78" s="6">
        <v>800</v>
      </c>
      <c r="AE78">
        <v>1</v>
      </c>
      <c r="AJ78" s="13">
        <v>790</v>
      </c>
      <c r="AK78" s="13">
        <v>790</v>
      </c>
      <c r="AL78" s="10">
        <v>-2.7416991886934139E-2</v>
      </c>
      <c r="AM78" s="1">
        <v>28.899999618530273</v>
      </c>
      <c r="AN78" s="2">
        <v>16</v>
      </c>
      <c r="AO78" s="3">
        <v>4.0500001907348633</v>
      </c>
      <c r="AP78" s="3">
        <v>4.0500001907348633</v>
      </c>
      <c r="AR78" s="1">
        <v>18.755000000000003</v>
      </c>
      <c r="AS78" s="1">
        <v>4.6299999999999955</v>
      </c>
      <c r="AT78" s="1">
        <v>16.440000000000005</v>
      </c>
      <c r="CG78">
        <v>235</v>
      </c>
      <c r="CH78" s="13">
        <v>790</v>
      </c>
      <c r="CI78" s="13">
        <v>790</v>
      </c>
      <c r="CJ78">
        <v>0</v>
      </c>
      <c r="CK78">
        <v>147</v>
      </c>
      <c r="CL78">
        <v>2.7000000476837158</v>
      </c>
      <c r="CM78" s="1">
        <v>28.899999618530273</v>
      </c>
      <c r="CR78">
        <v>4194.265625</v>
      </c>
      <c r="CS78">
        <v>6.8230770011723507E-7</v>
      </c>
      <c r="CT78">
        <v>0.63974374532699585</v>
      </c>
    </row>
    <row r="79" spans="1:98" x14ac:dyDescent="0.3">
      <c r="A79" s="4">
        <v>2.98</v>
      </c>
      <c r="B79" s="6">
        <v>1360</v>
      </c>
      <c r="C79" s="5">
        <v>26.61</v>
      </c>
      <c r="D79">
        <v>2</v>
      </c>
      <c r="E79">
        <v>4</v>
      </c>
      <c r="F79">
        <v>485</v>
      </c>
      <c r="G79" s="12">
        <v>227.8</v>
      </c>
      <c r="H79" s="5">
        <v>79.709999999999994</v>
      </c>
      <c r="I79" s="5">
        <v>50.16</v>
      </c>
      <c r="J79" s="5">
        <v>27.83</v>
      </c>
      <c r="K79" s="5">
        <f t="shared" si="17"/>
        <v>64.935000000000002</v>
      </c>
      <c r="L79" s="5">
        <f t="shared" si="18"/>
        <v>29.549999999999997</v>
      </c>
      <c r="M79" s="5">
        <f t="shared" si="19"/>
        <v>37.105000000000004</v>
      </c>
      <c r="N79" s="13">
        <v>1495.94</v>
      </c>
      <c r="O79" s="17">
        <f t="shared" si="20"/>
        <v>1.6165763147937655E-4</v>
      </c>
      <c r="P79">
        <f t="shared" si="21"/>
        <v>1.614082886528809E-4</v>
      </c>
      <c r="Q79" s="11">
        <f t="shared" si="24"/>
        <v>1458.6767448766816</v>
      </c>
      <c r="R79" s="15">
        <f t="shared" si="22"/>
        <v>37.263255123318459</v>
      </c>
      <c r="S79" s="9">
        <f t="shared" si="23"/>
        <v>2.5545930758270163</v>
      </c>
      <c r="V79" s="14">
        <v>0.01</v>
      </c>
      <c r="W79" s="9">
        <v>0.6</v>
      </c>
      <c r="X79" s="6">
        <v>800</v>
      </c>
      <c r="AE79">
        <v>1</v>
      </c>
      <c r="AJ79" s="13">
        <v>550</v>
      </c>
      <c r="AK79" s="13">
        <v>550</v>
      </c>
      <c r="AL79" s="10">
        <v>-6.6213921901527972E-2</v>
      </c>
      <c r="AM79" s="1">
        <v>40.900001525878906</v>
      </c>
      <c r="AN79" s="2">
        <v>17</v>
      </c>
      <c r="AO79" s="3">
        <v>8.3000001907348633</v>
      </c>
      <c r="AP79" s="3">
        <v>8.3000001907348633</v>
      </c>
      <c r="AR79" s="1">
        <v>16.845000000000006</v>
      </c>
      <c r="AS79" s="1">
        <v>5.07</v>
      </c>
      <c r="AT79" s="1">
        <v>14.310000000000006</v>
      </c>
      <c r="CG79">
        <v>165</v>
      </c>
      <c r="CH79" s="13">
        <v>550</v>
      </c>
      <c r="CI79" s="13">
        <v>550</v>
      </c>
      <c r="CJ79">
        <v>0</v>
      </c>
      <c r="CK79">
        <v>94</v>
      </c>
      <c r="CL79">
        <v>1.2000000476837158</v>
      </c>
      <c r="CM79" s="1">
        <v>40.900001525878906</v>
      </c>
      <c r="CR79">
        <v>4194.81982421875</v>
      </c>
      <c r="CS79">
        <v>5.7500426464685006E-7</v>
      </c>
      <c r="CT79">
        <v>0.65097528696060181</v>
      </c>
    </row>
    <row r="80" spans="1:98" x14ac:dyDescent="0.3">
      <c r="A80" s="4">
        <v>3.98</v>
      </c>
      <c r="B80" s="6">
        <v>1360</v>
      </c>
      <c r="C80" s="5">
        <v>22.43</v>
      </c>
      <c r="D80">
        <v>2</v>
      </c>
      <c r="E80">
        <v>4</v>
      </c>
      <c r="F80">
        <v>572</v>
      </c>
      <c r="G80" s="12">
        <v>283.7</v>
      </c>
      <c r="H80" s="5">
        <v>75.34</v>
      </c>
      <c r="I80" s="5">
        <v>60.48</v>
      </c>
      <c r="J80" s="5">
        <v>24.34</v>
      </c>
      <c r="K80" s="5">
        <f t="shared" si="17"/>
        <v>67.91</v>
      </c>
      <c r="L80" s="5">
        <f t="shared" si="18"/>
        <v>14.860000000000007</v>
      </c>
      <c r="M80" s="5">
        <f t="shared" si="19"/>
        <v>43.569999999999993</v>
      </c>
      <c r="N80" s="13">
        <v>2560.52</v>
      </c>
      <c r="O80" s="17">
        <f t="shared" si="20"/>
        <v>1.6964695063004394E-4</v>
      </c>
      <c r="P80">
        <f t="shared" si="21"/>
        <v>1.6866095672618279E-4</v>
      </c>
      <c r="Q80" s="11">
        <f t="shared" si="24"/>
        <v>2390.2760364990754</v>
      </c>
      <c r="R80" s="15">
        <f t="shared" si="22"/>
        <v>170.24396350092456</v>
      </c>
      <c r="S80" s="9">
        <f t="shared" si="23"/>
        <v>7.122355782400458</v>
      </c>
      <c r="V80" s="14">
        <v>0.01</v>
      </c>
      <c r="W80" s="9">
        <v>0.53</v>
      </c>
      <c r="X80" s="6">
        <v>800</v>
      </c>
      <c r="AE80">
        <v>1</v>
      </c>
      <c r="AJ80" s="13">
        <v>832</v>
      </c>
      <c r="AK80" s="13">
        <v>832</v>
      </c>
      <c r="AL80" s="10">
        <v>-5.4545454545454564E-2</v>
      </c>
      <c r="AM80" s="1">
        <v>38.799999237060547</v>
      </c>
      <c r="AN80" s="2">
        <v>19</v>
      </c>
      <c r="AO80" s="3">
        <v>8.0299997329711914</v>
      </c>
      <c r="AP80" s="3">
        <v>8.0299997329711914</v>
      </c>
      <c r="AR80" s="1">
        <v>22.210000000000004</v>
      </c>
      <c r="AS80" s="1">
        <v>15.18</v>
      </c>
      <c r="AT80" s="1">
        <v>14.620000000000005</v>
      </c>
      <c r="CG80">
        <v>300</v>
      </c>
      <c r="CH80" s="13">
        <v>832</v>
      </c>
      <c r="CI80" s="13">
        <v>832</v>
      </c>
      <c r="CJ80">
        <v>0</v>
      </c>
      <c r="CK80">
        <v>48</v>
      </c>
      <c r="CL80">
        <v>0.30000001192092896</v>
      </c>
      <c r="CM80" s="1">
        <v>38.799999237060547</v>
      </c>
      <c r="CR80">
        <v>4195.14501953125</v>
      </c>
      <c r="CS80">
        <v>5.3430619573191507E-7</v>
      </c>
      <c r="CT80">
        <v>0.65585136413574219</v>
      </c>
    </row>
    <row r="81" spans="1:98" x14ac:dyDescent="0.3">
      <c r="A81" s="4">
        <v>4.97</v>
      </c>
      <c r="B81" s="6">
        <v>1360</v>
      </c>
      <c r="C81" s="5">
        <v>21.23</v>
      </c>
      <c r="D81">
        <v>2</v>
      </c>
      <c r="E81">
        <v>4</v>
      </c>
      <c r="F81">
        <v>682</v>
      </c>
      <c r="G81" s="12">
        <v>355.3</v>
      </c>
      <c r="H81" s="5">
        <v>74.930000000000007</v>
      </c>
      <c r="I81" s="5">
        <v>63.1</v>
      </c>
      <c r="J81" s="5">
        <v>23.31</v>
      </c>
      <c r="K81" s="5">
        <f t="shared" si="17"/>
        <v>69.015000000000001</v>
      </c>
      <c r="L81" s="5">
        <f t="shared" si="18"/>
        <v>11.830000000000005</v>
      </c>
      <c r="M81" s="5">
        <f t="shared" si="19"/>
        <v>45.704999999999998</v>
      </c>
      <c r="N81" s="13">
        <v>3177.21</v>
      </c>
      <c r="O81" s="17">
        <f t="shared" si="20"/>
        <v>1.6140215653933439E-4</v>
      </c>
      <c r="P81">
        <f t="shared" si="21"/>
        <v>1.5984639740544297E-4</v>
      </c>
      <c r="Q81" s="11">
        <f t="shared" si="24"/>
        <v>3128.687635711608</v>
      </c>
      <c r="R81" s="15">
        <f t="shared" si="22"/>
        <v>48.522364288392055</v>
      </c>
      <c r="S81" s="9">
        <f t="shared" si="23"/>
        <v>1.5508855449340997</v>
      </c>
      <c r="V81" s="14">
        <v>0.01</v>
      </c>
      <c r="W81" s="9">
        <v>0.62</v>
      </c>
      <c r="X81" s="6">
        <v>1400</v>
      </c>
      <c r="AE81">
        <v>1</v>
      </c>
      <c r="AJ81" s="13">
        <v>2113</v>
      </c>
      <c r="AK81" s="13">
        <v>2113</v>
      </c>
      <c r="AL81" s="10">
        <v>3.4633030892095462E-2</v>
      </c>
      <c r="AM81" s="1">
        <v>68.599998474121094</v>
      </c>
      <c r="AN81" s="2">
        <v>4</v>
      </c>
      <c r="AO81" s="3">
        <v>7.9099998474121094</v>
      </c>
      <c r="AP81" s="3">
        <v>7.9099998474121094</v>
      </c>
      <c r="AR81" s="1">
        <v>49.954999999999998</v>
      </c>
      <c r="AS81" s="1">
        <v>10.070000000000007</v>
      </c>
      <c r="AT81" s="1">
        <v>44.919999999999995</v>
      </c>
      <c r="CG81">
        <v>170</v>
      </c>
      <c r="CH81" s="13">
        <v>2113</v>
      </c>
      <c r="CI81" s="13">
        <v>2113</v>
      </c>
      <c r="CJ81">
        <v>0</v>
      </c>
      <c r="CK81">
        <v>185</v>
      </c>
      <c r="CL81">
        <v>5.5999999046325684</v>
      </c>
      <c r="CM81" s="1">
        <v>68.599998474121094</v>
      </c>
      <c r="CR81">
        <v>4200.6142578125</v>
      </c>
      <c r="CS81">
        <v>3.6284524185248301E-7</v>
      </c>
      <c r="CT81">
        <v>0.67576307058334351</v>
      </c>
    </row>
    <row r="82" spans="1:98" x14ac:dyDescent="0.3">
      <c r="A82" s="4">
        <v>1.98</v>
      </c>
      <c r="B82" s="6">
        <v>1360</v>
      </c>
      <c r="C82" s="5">
        <v>28.47</v>
      </c>
      <c r="D82">
        <v>2</v>
      </c>
      <c r="E82">
        <v>4</v>
      </c>
      <c r="F82">
        <v>397</v>
      </c>
      <c r="G82" s="12">
        <v>167.9</v>
      </c>
      <c r="H82" s="5">
        <v>84.98</v>
      </c>
      <c r="I82" s="5">
        <v>74.91</v>
      </c>
      <c r="J82" s="5">
        <v>29.99</v>
      </c>
      <c r="K82" s="5">
        <f t="shared" si="17"/>
        <v>79.944999999999993</v>
      </c>
      <c r="L82" s="5">
        <f t="shared" si="18"/>
        <v>10.070000000000007</v>
      </c>
      <c r="M82" s="5">
        <f t="shared" si="19"/>
        <v>49.954999999999998</v>
      </c>
      <c r="N82" s="13">
        <v>2042.27</v>
      </c>
      <c r="O82" s="17">
        <f t="shared" si="20"/>
        <v>1.5355710514086077E-4</v>
      </c>
      <c r="P82">
        <f t="shared" si="21"/>
        <v>1.5141000199837891E-4</v>
      </c>
      <c r="Q82" s="11">
        <f t="shared" si="24"/>
        <v>2121.6888953504399</v>
      </c>
      <c r="R82" s="15">
        <f t="shared" si="22"/>
        <v>79.418895350439925</v>
      </c>
      <c r="S82" s="9">
        <f t="shared" si="23"/>
        <v>3.7431922995158184</v>
      </c>
      <c r="V82" s="14">
        <v>0.01</v>
      </c>
      <c r="W82" s="9">
        <v>0.62</v>
      </c>
      <c r="X82" s="6">
        <v>1400</v>
      </c>
      <c r="AE82">
        <v>1</v>
      </c>
      <c r="AJ82" s="13">
        <v>2635</v>
      </c>
      <c r="AK82" s="13">
        <v>2635</v>
      </c>
      <c r="AL82" s="10">
        <v>3.8624207236076957E-2</v>
      </c>
      <c r="AM82" s="1">
        <v>65.800003051757813</v>
      </c>
      <c r="AN82" s="2">
        <v>5</v>
      </c>
      <c r="AO82" s="3">
        <v>7.869999885559082</v>
      </c>
      <c r="AP82" s="3">
        <v>7.869999885559082</v>
      </c>
      <c r="AR82" s="1">
        <v>50.085000000000001</v>
      </c>
      <c r="AS82" s="1">
        <v>10.030000000000001</v>
      </c>
      <c r="AT82" s="1">
        <v>45.07</v>
      </c>
      <c r="CG82">
        <v>225</v>
      </c>
      <c r="CH82" s="13">
        <v>2635</v>
      </c>
      <c r="CI82" s="13">
        <v>2635</v>
      </c>
      <c r="CJ82">
        <v>0</v>
      </c>
      <c r="CK82">
        <v>232</v>
      </c>
      <c r="CL82">
        <v>8.3000001907348633</v>
      </c>
      <c r="CM82" s="1">
        <v>65.800003051757813</v>
      </c>
      <c r="CR82">
        <v>4200.62939453125</v>
      </c>
      <c r="CS82">
        <v>3.6265515745981247E-7</v>
      </c>
      <c r="CT82">
        <v>0.67577910423278809</v>
      </c>
    </row>
    <row r="83" spans="1:98" x14ac:dyDescent="0.3">
      <c r="A83" s="4">
        <v>5.97</v>
      </c>
      <c r="B83" s="6">
        <v>1360</v>
      </c>
      <c r="C83" s="5">
        <v>21.86</v>
      </c>
      <c r="D83">
        <v>2</v>
      </c>
      <c r="E83">
        <v>4</v>
      </c>
      <c r="F83">
        <v>823</v>
      </c>
      <c r="G83" s="12">
        <v>448.2</v>
      </c>
      <c r="H83" s="5">
        <v>75.19</v>
      </c>
      <c r="I83" s="5">
        <v>62</v>
      </c>
      <c r="J83" s="5">
        <v>24.14</v>
      </c>
      <c r="K83" s="5">
        <f t="shared" si="17"/>
        <v>68.594999999999999</v>
      </c>
      <c r="L83" s="5">
        <f t="shared" si="18"/>
        <v>13.189999999999998</v>
      </c>
      <c r="M83" s="5">
        <f t="shared" si="19"/>
        <v>44.454999999999998</v>
      </c>
      <c r="N83" s="13">
        <v>3544.8</v>
      </c>
      <c r="O83" s="17">
        <f t="shared" si="20"/>
        <v>1.6035995143930901E-4</v>
      </c>
      <c r="P83">
        <f t="shared" si="21"/>
        <v>1.5910847621108479E-4</v>
      </c>
      <c r="Q83" s="11">
        <f t="shared" si="24"/>
        <v>3506.6239069714534</v>
      </c>
      <c r="R83" s="15">
        <f t="shared" si="22"/>
        <v>38.176093028546802</v>
      </c>
      <c r="S83" s="9">
        <f t="shared" si="23"/>
        <v>1.0886851296670219</v>
      </c>
      <c r="V83" s="14">
        <v>0.01</v>
      </c>
      <c r="W83" s="9">
        <v>0.62</v>
      </c>
      <c r="X83" s="6">
        <v>1400</v>
      </c>
      <c r="AE83">
        <v>1</v>
      </c>
      <c r="AJ83" s="13">
        <v>3445</v>
      </c>
      <c r="AK83" s="13">
        <v>3445</v>
      </c>
      <c r="AL83" s="10">
        <v>3.594379140392201E-2</v>
      </c>
      <c r="AM83" s="1">
        <v>61.299999237060547</v>
      </c>
      <c r="AN83" s="2">
        <v>6</v>
      </c>
      <c r="AO83" s="3">
        <v>7.9200000762939453</v>
      </c>
      <c r="AP83" s="3">
        <v>7.9200000762939453</v>
      </c>
      <c r="AR83" s="1">
        <v>49.504999999999995</v>
      </c>
      <c r="AS83" s="1">
        <v>10.289999999999992</v>
      </c>
      <c r="AT83" s="1">
        <v>44.36</v>
      </c>
      <c r="CG83">
        <v>340</v>
      </c>
      <c r="CH83" s="13">
        <v>3445</v>
      </c>
      <c r="CI83" s="13">
        <v>3445</v>
      </c>
      <c r="CJ83">
        <v>0</v>
      </c>
      <c r="CK83">
        <v>295</v>
      </c>
      <c r="CL83">
        <v>12.899999618530273</v>
      </c>
      <c r="CM83" s="1">
        <v>61.299999237060547</v>
      </c>
      <c r="CR83">
        <v>4200.453125</v>
      </c>
      <c r="CS83">
        <v>3.6490285992840654E-7</v>
      </c>
      <c r="CT83">
        <v>0.67558813095092773</v>
      </c>
    </row>
    <row r="84" spans="1:98" x14ac:dyDescent="0.3">
      <c r="A84" s="4">
        <v>3.98</v>
      </c>
      <c r="B84" s="6">
        <v>1360</v>
      </c>
      <c r="C84" s="5">
        <v>28.04</v>
      </c>
      <c r="D84">
        <v>2</v>
      </c>
      <c r="E84">
        <v>4</v>
      </c>
      <c r="F84">
        <v>572</v>
      </c>
      <c r="G84" s="12">
        <v>282.2</v>
      </c>
      <c r="H84" s="5">
        <v>84.98</v>
      </c>
      <c r="I84" s="5">
        <v>75.08</v>
      </c>
      <c r="J84" s="5">
        <v>30.02</v>
      </c>
      <c r="K84" s="5">
        <f t="shared" si="17"/>
        <v>80.03</v>
      </c>
      <c r="L84" s="5">
        <f t="shared" si="18"/>
        <v>9.9000000000000057</v>
      </c>
      <c r="M84" s="5">
        <f t="shared" si="19"/>
        <v>50.010000000000005</v>
      </c>
      <c r="N84" s="13">
        <v>2975.81</v>
      </c>
      <c r="O84" s="17">
        <f t="shared" si="20"/>
        <v>1.5919056877867154E-4</v>
      </c>
      <c r="P84">
        <f t="shared" si="21"/>
        <v>1.5696909362865563E-4</v>
      </c>
      <c r="Q84" s="11">
        <f t="shared" si="24"/>
        <v>2983.5185779250128</v>
      </c>
      <c r="R84" s="15">
        <f t="shared" si="22"/>
        <v>7.7085779250128326</v>
      </c>
      <c r="S84" s="9">
        <f t="shared" si="23"/>
        <v>0.25837204373548861</v>
      </c>
      <c r="V84" s="14">
        <v>0.01</v>
      </c>
      <c r="W84" s="9">
        <v>0.45</v>
      </c>
      <c r="X84" s="6">
        <v>1400</v>
      </c>
      <c r="AC84" s="5"/>
      <c r="AE84">
        <v>1</v>
      </c>
      <c r="AG84" s="13"/>
      <c r="AH84" s="13"/>
      <c r="AI84" s="10"/>
      <c r="AJ84" s="13">
        <v>1066</v>
      </c>
      <c r="AK84" s="13">
        <v>1066</v>
      </c>
      <c r="AL84" s="10">
        <v>2.8868148519916259E-2</v>
      </c>
      <c r="AM84" s="1">
        <v>44.299999237060547</v>
      </c>
      <c r="AN84" s="2">
        <v>14</v>
      </c>
      <c r="AO84" s="3">
        <v>7.9200000762939453</v>
      </c>
      <c r="AP84" s="3">
        <v>7.9200000762939453</v>
      </c>
      <c r="AR84" s="1">
        <v>31.950000000000003</v>
      </c>
      <c r="AS84" s="1">
        <v>35.900000000000006</v>
      </c>
      <c r="AT84" s="1">
        <v>14</v>
      </c>
      <c r="AV84" s="7"/>
      <c r="AW84" s="3"/>
      <c r="AX84" s="7"/>
      <c r="AZ84" s="10"/>
      <c r="BB84" s="10"/>
      <c r="CD84" s="10"/>
      <c r="CE84" s="10"/>
      <c r="CF84" s="10"/>
      <c r="CG84">
        <v>230</v>
      </c>
      <c r="CH84" s="13">
        <v>1066</v>
      </c>
      <c r="CI84" s="13">
        <v>1066</v>
      </c>
      <c r="CJ84">
        <v>0</v>
      </c>
      <c r="CK84">
        <v>26</v>
      </c>
      <c r="CL84">
        <v>0.20000000298023224</v>
      </c>
      <c r="CM84" s="1">
        <v>44.299999237060547</v>
      </c>
      <c r="CR84">
        <v>4196.15478515625</v>
      </c>
      <c r="CS84">
        <v>4.6571116740778962E-7</v>
      </c>
      <c r="CT84">
        <v>0.66446065902709961</v>
      </c>
    </row>
    <row r="85" spans="1:98" x14ac:dyDescent="0.3">
      <c r="A85" s="4">
        <v>2.98</v>
      </c>
      <c r="B85" s="6">
        <v>1360</v>
      </c>
      <c r="C85" s="5">
        <v>28.22</v>
      </c>
      <c r="D85">
        <v>2</v>
      </c>
      <c r="E85">
        <v>4</v>
      </c>
      <c r="F85">
        <v>485</v>
      </c>
      <c r="G85" s="12">
        <v>225.4</v>
      </c>
      <c r="H85" s="5">
        <v>85</v>
      </c>
      <c r="I85" s="5">
        <v>74.97</v>
      </c>
      <c r="J85" s="5">
        <v>29.9</v>
      </c>
      <c r="K85" s="5">
        <f t="shared" si="17"/>
        <v>79.984999999999999</v>
      </c>
      <c r="L85" s="5">
        <f t="shared" si="18"/>
        <v>10.030000000000001</v>
      </c>
      <c r="M85" s="5">
        <f t="shared" si="19"/>
        <v>50.085000000000001</v>
      </c>
      <c r="N85" s="13">
        <v>2537.0100000000002</v>
      </c>
      <c r="O85" s="17">
        <f t="shared" si="20"/>
        <v>1.579778201219369E-4</v>
      </c>
      <c r="P85">
        <f t="shared" si="21"/>
        <v>1.5581355738220932E-4</v>
      </c>
      <c r="Q85" s="11">
        <f t="shared" si="24"/>
        <v>2562.1894348911724</v>
      </c>
      <c r="R85" s="15">
        <f t="shared" si="22"/>
        <v>25.17943489117215</v>
      </c>
      <c r="S85" s="9">
        <f t="shared" si="23"/>
        <v>0.98273119654174179</v>
      </c>
      <c r="V85" s="14">
        <v>0.01</v>
      </c>
      <c r="W85" s="9">
        <v>0.44</v>
      </c>
      <c r="X85" s="6">
        <v>1400</v>
      </c>
      <c r="AC85" s="5"/>
      <c r="AE85">
        <v>1</v>
      </c>
      <c r="AG85" s="13"/>
      <c r="AH85" s="13"/>
      <c r="AI85" s="10"/>
      <c r="AJ85" s="13">
        <v>342</v>
      </c>
      <c r="AK85" s="13">
        <v>342</v>
      </c>
      <c r="AL85" s="10">
        <v>0.14811333422854833</v>
      </c>
      <c r="AM85" s="1">
        <v>29.200000762939453</v>
      </c>
      <c r="AN85" s="2">
        <v>25</v>
      </c>
      <c r="AO85" s="3">
        <v>6.3499999046325684</v>
      </c>
      <c r="AP85" s="3">
        <v>6.3499999046325684</v>
      </c>
      <c r="AR85" s="1">
        <v>8.6700000000000017</v>
      </c>
      <c r="AS85" s="1">
        <v>10.119999999999997</v>
      </c>
      <c r="AT85" s="1">
        <v>3.610000000000003</v>
      </c>
      <c r="AV85" s="7"/>
      <c r="AW85" s="3"/>
      <c r="AX85" s="7"/>
      <c r="AZ85" s="10"/>
      <c r="BB85" s="10"/>
      <c r="CD85" s="10"/>
      <c r="CE85" s="10"/>
      <c r="CF85" s="10"/>
      <c r="CG85">
        <v>350</v>
      </c>
      <c r="CH85" s="13">
        <v>342</v>
      </c>
      <c r="CI85" s="13">
        <v>342</v>
      </c>
      <c r="CJ85">
        <v>0</v>
      </c>
      <c r="CK85">
        <v>29</v>
      </c>
      <c r="CL85">
        <v>0.20000000298023224</v>
      </c>
      <c r="CM85" s="1">
        <v>29.200000762939453</v>
      </c>
      <c r="CR85">
        <v>4194.09814453125</v>
      </c>
      <c r="CS85">
        <v>7.188786526057811E-7</v>
      </c>
      <c r="CT85">
        <v>0.63644403219223022</v>
      </c>
    </row>
    <row r="86" spans="1:98" x14ac:dyDescent="0.3">
      <c r="A86" s="4">
        <v>4.97</v>
      </c>
      <c r="B86" s="6">
        <v>1360</v>
      </c>
      <c r="C86" s="5">
        <v>27.75</v>
      </c>
      <c r="D86">
        <v>2</v>
      </c>
      <c r="E86">
        <v>4</v>
      </c>
      <c r="F86">
        <v>657</v>
      </c>
      <c r="G86" s="12">
        <v>337.9</v>
      </c>
      <c r="H86" s="5">
        <v>84.66</v>
      </c>
      <c r="I86" s="5">
        <v>74.37</v>
      </c>
      <c r="J86" s="5">
        <v>30.01</v>
      </c>
      <c r="K86" s="5">
        <f t="shared" si="17"/>
        <v>79.515000000000001</v>
      </c>
      <c r="L86" s="5">
        <f t="shared" si="18"/>
        <v>10.289999999999992</v>
      </c>
      <c r="M86" s="5">
        <f t="shared" si="19"/>
        <v>49.504999999999995</v>
      </c>
      <c r="N86" s="13">
        <v>3325.47</v>
      </c>
      <c r="O86" s="17">
        <f t="shared" si="20"/>
        <v>1.5963616139954754E-4</v>
      </c>
      <c r="P86">
        <f t="shared" si="21"/>
        <v>1.5757988685546529E-4</v>
      </c>
      <c r="Q86" s="11">
        <f t="shared" si="24"/>
        <v>3321.3365219283937</v>
      </c>
      <c r="R86" s="15">
        <f t="shared" si="22"/>
        <v>4.1334780716060777</v>
      </c>
      <c r="S86" s="9">
        <f t="shared" si="23"/>
        <v>0.1244522512041657</v>
      </c>
      <c r="V86" s="14">
        <v>0.01</v>
      </c>
      <c r="W86" s="9">
        <v>0.5</v>
      </c>
      <c r="X86" s="6">
        <v>1400</v>
      </c>
      <c r="AC86" s="5"/>
      <c r="AE86">
        <v>1</v>
      </c>
      <c r="AG86" s="13"/>
      <c r="AH86" s="13"/>
      <c r="AI86" s="10"/>
      <c r="AJ86" s="13">
        <v>302</v>
      </c>
      <c r="AK86" s="13">
        <v>302</v>
      </c>
      <c r="AL86" s="10">
        <v>0.14615355421458109</v>
      </c>
      <c r="AM86" s="1">
        <v>29.100000381469727</v>
      </c>
      <c r="AN86" s="2">
        <v>26</v>
      </c>
      <c r="AO86" s="3">
        <v>6.4499998092651367</v>
      </c>
      <c r="AP86" s="3">
        <v>6.4499998092651367</v>
      </c>
      <c r="AR86" s="1">
        <v>5.9899999999999984</v>
      </c>
      <c r="AS86" s="1">
        <v>4.9599999999999973</v>
      </c>
      <c r="AT86" s="1">
        <v>3.51</v>
      </c>
      <c r="AV86" s="7"/>
      <c r="AW86" s="3"/>
      <c r="AX86" s="7"/>
      <c r="AZ86" s="10"/>
      <c r="BB86" s="10"/>
      <c r="CD86" s="10"/>
      <c r="CE86" s="10"/>
      <c r="CF86" s="10"/>
      <c r="CG86">
        <v>350</v>
      </c>
      <c r="CH86" s="13">
        <v>302</v>
      </c>
      <c r="CI86" s="13">
        <v>302</v>
      </c>
      <c r="CJ86">
        <v>0</v>
      </c>
      <c r="CK86">
        <v>53</v>
      </c>
      <c r="CL86">
        <v>0.69999998807907104</v>
      </c>
      <c r="CM86" s="1">
        <v>29.100000381469727</v>
      </c>
      <c r="CR86">
        <v>4193.93017578125</v>
      </c>
      <c r="CS86">
        <v>7.5458552828422398E-7</v>
      </c>
      <c r="CT86">
        <v>0.63344264030456543</v>
      </c>
    </row>
    <row r="87" spans="1:98" x14ac:dyDescent="0.3">
      <c r="A87" s="4">
        <v>5.97</v>
      </c>
      <c r="B87" s="6">
        <v>1360</v>
      </c>
      <c r="C87" s="5">
        <v>27.57</v>
      </c>
      <c r="D87">
        <v>2</v>
      </c>
      <c r="E87">
        <v>4</v>
      </c>
      <c r="F87">
        <v>743</v>
      </c>
      <c r="G87" s="12">
        <v>394.2</v>
      </c>
      <c r="H87" s="5">
        <v>84.93</v>
      </c>
      <c r="I87" s="5">
        <v>73.69</v>
      </c>
      <c r="J87" s="5">
        <v>30.01</v>
      </c>
      <c r="K87" s="5">
        <f t="shared" si="17"/>
        <v>79.31</v>
      </c>
      <c r="L87" s="5">
        <f t="shared" si="18"/>
        <v>11.240000000000009</v>
      </c>
      <c r="M87" s="5">
        <f t="shared" si="19"/>
        <v>49.3</v>
      </c>
      <c r="N87" s="13">
        <v>3635</v>
      </c>
      <c r="O87" s="17">
        <f t="shared" si="20"/>
        <v>1.5910515608270025E-4</v>
      </c>
      <c r="P87">
        <f t="shared" si="21"/>
        <v>1.5738178331439488E-4</v>
      </c>
      <c r="Q87" s="11">
        <f t="shared" si="24"/>
        <v>3634.9926819706106</v>
      </c>
      <c r="R87" s="15">
        <f t="shared" si="22"/>
        <v>7.3180293893528869E-3</v>
      </c>
      <c r="S87" s="9">
        <f t="shared" si="23"/>
        <v>2.0132170899245239E-4</v>
      </c>
      <c r="V87" s="14">
        <v>0.01</v>
      </c>
      <c r="W87" s="9">
        <v>0.61</v>
      </c>
      <c r="X87" s="6">
        <v>1400</v>
      </c>
      <c r="AC87" s="5"/>
      <c r="AE87">
        <v>1</v>
      </c>
      <c r="AG87" s="13"/>
      <c r="AH87" s="13"/>
      <c r="AI87" s="10"/>
      <c r="AJ87" s="13">
        <v>2180</v>
      </c>
      <c r="AK87" s="13">
        <v>2180</v>
      </c>
      <c r="AL87" s="10">
        <v>2.9452737258161221E-2</v>
      </c>
      <c r="AM87" s="1">
        <v>39</v>
      </c>
      <c r="AN87" s="2">
        <v>11</v>
      </c>
      <c r="AO87" s="3">
        <v>4.619999885559082</v>
      </c>
      <c r="AP87" s="3">
        <v>4.619999885559082</v>
      </c>
      <c r="AR87" s="1">
        <v>30.56</v>
      </c>
      <c r="AS87" s="1">
        <v>8.019999999999996</v>
      </c>
      <c r="AT87" s="1">
        <v>26.55</v>
      </c>
      <c r="AV87" s="7"/>
      <c r="AW87" s="3"/>
      <c r="AX87" s="7"/>
      <c r="AZ87" s="10"/>
      <c r="BB87" s="10"/>
      <c r="CD87" s="10"/>
      <c r="CE87" s="10"/>
      <c r="CF87" s="10"/>
      <c r="CG87">
        <v>360</v>
      </c>
      <c r="CH87" s="13">
        <v>2180</v>
      </c>
      <c r="CI87" s="13">
        <v>2180</v>
      </c>
      <c r="CJ87">
        <v>0</v>
      </c>
      <c r="CK87">
        <v>236</v>
      </c>
      <c r="CL87">
        <v>9.5</v>
      </c>
      <c r="CM87" s="1">
        <v>39</v>
      </c>
      <c r="CR87">
        <v>4195.07861328125</v>
      </c>
      <c r="CS87">
        <v>5.4141014516062569E-7</v>
      </c>
      <c r="CT87">
        <v>0.65498000383377075</v>
      </c>
    </row>
    <row r="88" spans="1:98" x14ac:dyDescent="0.3">
      <c r="A88" s="4">
        <v>4.97</v>
      </c>
      <c r="B88" s="6">
        <v>1360</v>
      </c>
      <c r="C88" s="5">
        <v>19.86</v>
      </c>
      <c r="D88">
        <v>2</v>
      </c>
      <c r="E88">
        <v>4</v>
      </c>
      <c r="F88">
        <v>684</v>
      </c>
      <c r="G88" s="12">
        <v>361.1</v>
      </c>
      <c r="H88" s="5">
        <v>55.58</v>
      </c>
      <c r="I88" s="5">
        <v>47.56</v>
      </c>
      <c r="J88" s="5">
        <v>21.01</v>
      </c>
      <c r="K88" s="5">
        <f t="shared" si="17"/>
        <v>51.57</v>
      </c>
      <c r="L88" s="5">
        <f t="shared" si="18"/>
        <v>8.019999999999996</v>
      </c>
      <c r="M88" s="5">
        <f t="shared" si="19"/>
        <v>30.56</v>
      </c>
      <c r="N88" s="13">
        <v>2117.63</v>
      </c>
      <c r="O88" s="17">
        <f t="shared" si="20"/>
        <v>1.609597395115063E-4</v>
      </c>
      <c r="P88">
        <f t="shared" si="21"/>
        <v>1.5757470491201597E-4</v>
      </c>
      <c r="Q88" s="11">
        <f t="shared" si="24"/>
        <v>2115.0876570046071</v>
      </c>
      <c r="R88" s="15">
        <f t="shared" si="22"/>
        <v>2.5423429953930281</v>
      </c>
      <c r="S88" s="9">
        <f t="shared" si="23"/>
        <v>0.12020036082067698</v>
      </c>
      <c r="V88" s="14">
        <v>0.01</v>
      </c>
      <c r="W88" s="9">
        <v>0.6</v>
      </c>
      <c r="X88" s="6">
        <v>1400</v>
      </c>
      <c r="AC88" s="5"/>
      <c r="AE88">
        <v>1</v>
      </c>
      <c r="AG88" s="13"/>
      <c r="AH88" s="13"/>
      <c r="AI88" s="10"/>
      <c r="AJ88" s="13">
        <v>3608</v>
      </c>
      <c r="AK88" s="13">
        <v>3608</v>
      </c>
      <c r="AL88" s="10">
        <v>1.7828932520875584E-2</v>
      </c>
      <c r="AM88" s="1">
        <v>48.400001525878906</v>
      </c>
      <c r="AN88" s="2">
        <v>8</v>
      </c>
      <c r="AO88" s="3">
        <v>5.5900001525878906</v>
      </c>
      <c r="AP88" s="3">
        <v>5.5900001525878906</v>
      </c>
      <c r="AR88" s="1">
        <v>44.454999999999998</v>
      </c>
      <c r="AS88" s="1">
        <v>13.189999999999998</v>
      </c>
      <c r="AT88" s="1">
        <v>37.86</v>
      </c>
      <c r="AV88" s="7"/>
      <c r="AW88" s="3"/>
      <c r="AX88" s="7"/>
      <c r="AZ88" s="10"/>
      <c r="BB88" s="10"/>
      <c r="CD88" s="10"/>
      <c r="CE88" s="10"/>
      <c r="CF88" s="10"/>
      <c r="CG88">
        <v>450</v>
      </c>
      <c r="CH88" s="13">
        <v>3608</v>
      </c>
      <c r="CI88" s="13">
        <v>3608</v>
      </c>
      <c r="CJ88">
        <v>0</v>
      </c>
      <c r="CK88">
        <v>240</v>
      </c>
      <c r="CL88">
        <v>9.1999998092651367</v>
      </c>
      <c r="CM88" s="1">
        <v>48.400001525878906</v>
      </c>
      <c r="CR88">
        <v>4197.31982421875</v>
      </c>
      <c r="CS88">
        <v>4.2410545120219467E-7</v>
      </c>
      <c r="CT88">
        <v>0.66949933767318726</v>
      </c>
    </row>
    <row r="89" spans="1:98" x14ac:dyDescent="0.3">
      <c r="A89" s="4">
        <v>6.87</v>
      </c>
      <c r="B89" s="6">
        <v>1360</v>
      </c>
      <c r="C89" s="5">
        <v>20.9</v>
      </c>
      <c r="D89">
        <v>2</v>
      </c>
      <c r="E89">
        <v>4</v>
      </c>
      <c r="F89">
        <v>950</v>
      </c>
      <c r="G89" s="12">
        <v>538.6</v>
      </c>
      <c r="H89" s="5">
        <v>55.39</v>
      </c>
      <c r="I89" s="5">
        <v>45.36</v>
      </c>
      <c r="J89" s="5">
        <v>22.13</v>
      </c>
      <c r="K89" s="5">
        <f t="shared" si="17"/>
        <v>50.375</v>
      </c>
      <c r="L89" s="5">
        <f t="shared" si="18"/>
        <v>10.030000000000001</v>
      </c>
      <c r="M89" s="5">
        <f t="shared" si="19"/>
        <v>28.245000000000001</v>
      </c>
      <c r="N89" s="13">
        <v>2416.69</v>
      </c>
      <c r="O89" s="17">
        <f t="shared" si="20"/>
        <v>1.5687571822007532E-4</v>
      </c>
      <c r="P89">
        <f t="shared" si="21"/>
        <v>1.5471145548034775E-4</v>
      </c>
      <c r="Q89" s="11">
        <f t="shared" si="24"/>
        <v>2457.8217987912935</v>
      </c>
      <c r="R89" s="15">
        <f t="shared" si="22"/>
        <v>41.131798791293477</v>
      </c>
      <c r="S89" s="9">
        <f t="shared" si="23"/>
        <v>1.6735061431842335</v>
      </c>
      <c r="V89" s="14">
        <v>0.01</v>
      </c>
      <c r="W89" s="9">
        <v>0.59</v>
      </c>
      <c r="X89" s="6">
        <v>1400</v>
      </c>
      <c r="AC89" s="5"/>
      <c r="AE89">
        <v>1</v>
      </c>
      <c r="AG89" s="13"/>
      <c r="AH89" s="13"/>
      <c r="AI89" s="10"/>
      <c r="AJ89" s="13">
        <v>2471</v>
      </c>
      <c r="AK89" s="13">
        <v>2471</v>
      </c>
      <c r="AL89" s="10">
        <v>2.2472886468682285E-2</v>
      </c>
      <c r="AM89" s="1">
        <v>35.799999237060547</v>
      </c>
      <c r="AN89" s="2">
        <v>14</v>
      </c>
      <c r="AO89" s="3">
        <v>4.9499998092651367</v>
      </c>
      <c r="AP89" s="3">
        <v>4.9499998092651367</v>
      </c>
      <c r="AR89" s="1">
        <v>28.245000000000001</v>
      </c>
      <c r="AS89" s="1">
        <v>10.030000000000001</v>
      </c>
      <c r="AT89" s="1">
        <v>23.23</v>
      </c>
      <c r="AV89" s="7"/>
      <c r="AW89" s="3"/>
      <c r="AX89" s="7"/>
      <c r="AZ89" s="10"/>
      <c r="BB89" s="10"/>
      <c r="CD89" s="10"/>
      <c r="CE89" s="10"/>
      <c r="CF89" s="10"/>
      <c r="CG89">
        <v>540</v>
      </c>
      <c r="CH89" s="13">
        <v>2471</v>
      </c>
      <c r="CI89" s="13">
        <v>2471</v>
      </c>
      <c r="CJ89">
        <v>0</v>
      </c>
      <c r="CK89">
        <v>214</v>
      </c>
      <c r="CL89">
        <v>8</v>
      </c>
      <c r="CM89" s="1">
        <v>35.799999237060547</v>
      </c>
      <c r="CR89">
        <v>4194.994140625</v>
      </c>
      <c r="CS89">
        <v>5.5131579301814782E-7</v>
      </c>
      <c r="CT89">
        <v>0.65377813577651978</v>
      </c>
    </row>
    <row r="90" spans="1:98" x14ac:dyDescent="0.3">
      <c r="A90" s="4">
        <v>2.98</v>
      </c>
      <c r="B90" s="6">
        <v>1360</v>
      </c>
      <c r="C90" s="5">
        <v>28.74</v>
      </c>
      <c r="D90">
        <v>2</v>
      </c>
      <c r="E90">
        <v>4</v>
      </c>
      <c r="F90">
        <v>485</v>
      </c>
      <c r="G90" s="12">
        <v>228.7</v>
      </c>
      <c r="H90" s="5">
        <v>79.900000000000006</v>
      </c>
      <c r="I90" s="5">
        <v>44</v>
      </c>
      <c r="J90" s="5">
        <v>30</v>
      </c>
      <c r="K90" s="5">
        <f t="shared" si="17"/>
        <v>61.95</v>
      </c>
      <c r="L90" s="5">
        <f t="shared" si="18"/>
        <v>35.900000000000006</v>
      </c>
      <c r="M90" s="5">
        <f t="shared" si="19"/>
        <v>31.950000000000003</v>
      </c>
      <c r="N90" s="13">
        <v>1036.0899999999999</v>
      </c>
      <c r="O90" s="17">
        <f t="shared" si="20"/>
        <v>1.412523909650401E-4</v>
      </c>
      <c r="P90">
        <f t="shared" si="21"/>
        <v>1.4108345467539845E-4</v>
      </c>
      <c r="Q90" s="11">
        <f t="shared" si="24"/>
        <v>1155.6363194042633</v>
      </c>
      <c r="R90" s="15">
        <f t="shared" si="22"/>
        <v>119.54631940426339</v>
      </c>
      <c r="S90" s="9">
        <f t="shared" si="23"/>
        <v>10.34463155899169</v>
      </c>
      <c r="V90" s="14">
        <v>0.01</v>
      </c>
      <c r="W90" s="9">
        <v>0.9</v>
      </c>
      <c r="X90" s="6">
        <v>1400</v>
      </c>
      <c r="AC90" s="5"/>
      <c r="AE90">
        <v>1</v>
      </c>
      <c r="AG90" s="13"/>
      <c r="AH90" s="13"/>
      <c r="AI90" s="10"/>
      <c r="AJ90" s="13">
        <v>1415</v>
      </c>
      <c r="AK90" s="13">
        <v>1415</v>
      </c>
      <c r="AL90" s="10">
        <v>3.2846715328467058E-2</v>
      </c>
      <c r="AM90" s="1">
        <v>36</v>
      </c>
      <c r="AN90" s="2">
        <v>15</v>
      </c>
      <c r="AO90" s="3">
        <v>5.5500001907348633</v>
      </c>
      <c r="AP90" s="3">
        <v>5.5500001907348633</v>
      </c>
      <c r="AR90" s="1">
        <v>14.39</v>
      </c>
      <c r="AS90" s="1">
        <v>5.7600000000000051</v>
      </c>
      <c r="AT90" s="1">
        <v>11.509999999999998</v>
      </c>
      <c r="AV90" s="7"/>
      <c r="AW90" s="3"/>
      <c r="AX90" s="7"/>
      <c r="AZ90" s="10"/>
      <c r="BB90" s="10"/>
      <c r="CD90" s="10"/>
      <c r="CE90" s="10"/>
      <c r="CF90" s="10"/>
      <c r="CG90">
        <v>355</v>
      </c>
      <c r="CH90" s="13">
        <v>1415</v>
      </c>
      <c r="CI90" s="13">
        <v>1415</v>
      </c>
      <c r="CJ90">
        <v>0</v>
      </c>
      <c r="CK90">
        <v>212</v>
      </c>
      <c r="CL90">
        <v>25.5</v>
      </c>
      <c r="CM90" s="1">
        <v>36</v>
      </c>
      <c r="CR90">
        <v>4194.3076171875</v>
      </c>
      <c r="CS90">
        <v>6.7309991891306709E-7</v>
      </c>
      <c r="CT90">
        <v>0.640613853931427</v>
      </c>
    </row>
    <row r="91" spans="1:98" x14ac:dyDescent="0.3">
      <c r="A91" s="4">
        <v>9.9700000000000006</v>
      </c>
      <c r="B91" s="6">
        <v>780</v>
      </c>
      <c r="C91" s="5">
        <v>27.36</v>
      </c>
      <c r="D91">
        <v>1</v>
      </c>
      <c r="E91">
        <v>4</v>
      </c>
      <c r="F91">
        <v>1076</v>
      </c>
      <c r="G91" s="12">
        <v>360.5</v>
      </c>
      <c r="H91" s="5">
        <v>49.7</v>
      </c>
      <c r="I91" s="5">
        <v>38.340000000000003</v>
      </c>
      <c r="J91" s="5">
        <v>28</v>
      </c>
      <c r="K91" s="5">
        <f t="shared" si="17"/>
        <v>44.02</v>
      </c>
      <c r="L91" s="5">
        <f t="shared" si="18"/>
        <v>11.36</v>
      </c>
      <c r="M91" s="5">
        <f t="shared" si="19"/>
        <v>16.020000000000003</v>
      </c>
      <c r="N91" s="13">
        <v>657.14</v>
      </c>
      <c r="O91" s="17">
        <f t="shared" si="20"/>
        <v>1.4548397152501323E-4</v>
      </c>
      <c r="P91">
        <f t="shared" si="21"/>
        <v>1.4379681573798981E-4</v>
      </c>
      <c r="Q91" s="11">
        <f t="shared" si="24"/>
        <v>718.50081528004478</v>
      </c>
      <c r="R91" s="15">
        <f t="shared" si="22"/>
        <v>61.36081528004479</v>
      </c>
      <c r="S91" s="9">
        <f t="shared" si="23"/>
        <v>8.5401176971704125</v>
      </c>
      <c r="V91" s="14">
        <v>0.01</v>
      </c>
      <c r="W91" s="9">
        <v>0.53</v>
      </c>
      <c r="X91" s="6">
        <v>800</v>
      </c>
      <c r="AE91">
        <v>1</v>
      </c>
      <c r="AJ91" s="13">
        <v>554</v>
      </c>
      <c r="AK91" s="13">
        <v>554</v>
      </c>
      <c r="AL91" s="10">
        <v>-4.6717714875677552E-2</v>
      </c>
      <c r="AM91" s="1">
        <v>35.799999237060547</v>
      </c>
      <c r="AN91" s="2">
        <v>22</v>
      </c>
      <c r="AO91" s="3">
        <v>7.9899997711181641</v>
      </c>
      <c r="AP91" s="3">
        <v>7.9899997711181641</v>
      </c>
      <c r="AR91" s="1">
        <v>14.925000000000001</v>
      </c>
      <c r="AS91" s="1">
        <v>10.030000000000001</v>
      </c>
      <c r="AT91" s="1">
        <v>9.91</v>
      </c>
      <c r="CG91">
        <v>300</v>
      </c>
      <c r="CH91" s="13">
        <v>554</v>
      </c>
      <c r="CI91" s="13">
        <v>554</v>
      </c>
      <c r="CJ91">
        <v>0</v>
      </c>
      <c r="CK91">
        <v>48</v>
      </c>
      <c r="CL91">
        <v>0.30000001192092896</v>
      </c>
      <c r="CM91" s="1">
        <v>35.799999237060547</v>
      </c>
      <c r="CR91">
        <v>4194.67138671875</v>
      </c>
      <c r="CS91">
        <v>5.9936792240478098E-7</v>
      </c>
      <c r="CT91">
        <v>0.64821016788482666</v>
      </c>
    </row>
    <row r="92" spans="1:98" x14ac:dyDescent="0.3">
      <c r="A92" s="4">
        <v>7.97</v>
      </c>
      <c r="B92" s="6">
        <v>780</v>
      </c>
      <c r="C92" s="5">
        <v>29.46</v>
      </c>
      <c r="D92">
        <v>1</v>
      </c>
      <c r="E92">
        <v>4</v>
      </c>
      <c r="F92">
        <v>918</v>
      </c>
      <c r="G92" s="12">
        <v>299.89999999999998</v>
      </c>
      <c r="H92" s="5">
        <v>50.1</v>
      </c>
      <c r="I92" s="5">
        <v>40.07</v>
      </c>
      <c r="J92" s="5">
        <v>30.16</v>
      </c>
      <c r="K92" s="5">
        <f t="shared" si="17"/>
        <v>45.085000000000001</v>
      </c>
      <c r="L92" s="5">
        <f t="shared" si="18"/>
        <v>10.030000000000001</v>
      </c>
      <c r="M92" s="5">
        <f t="shared" si="19"/>
        <v>14.925000000000001</v>
      </c>
      <c r="N92" s="13">
        <v>581.15</v>
      </c>
      <c r="O92" s="17">
        <f t="shared" si="20"/>
        <v>1.6240435284897657E-4</v>
      </c>
      <c r="P92">
        <f t="shared" si="21"/>
        <v>1.60240090109249E-4</v>
      </c>
      <c r="Q92" s="11">
        <f t="shared" si="24"/>
        <v>570.9206489121816</v>
      </c>
      <c r="R92" s="15">
        <f t="shared" si="22"/>
        <v>10.229351087818372</v>
      </c>
      <c r="S92" s="9">
        <f t="shared" si="23"/>
        <v>1.7917290445369494</v>
      </c>
      <c r="V92" s="14">
        <v>0.01</v>
      </c>
      <c r="W92" s="9">
        <v>0.53</v>
      </c>
      <c r="X92" s="6">
        <v>800</v>
      </c>
      <c r="AE92">
        <v>1</v>
      </c>
      <c r="AJ92" s="13">
        <v>1103</v>
      </c>
      <c r="AK92" s="13">
        <v>1103</v>
      </c>
      <c r="AL92" s="10">
        <v>-5.7659612640859836E-2</v>
      </c>
      <c r="AM92" s="1">
        <v>42.200000762939453</v>
      </c>
      <c r="AN92" s="2">
        <v>16</v>
      </c>
      <c r="AO92" s="3">
        <v>8.2600002288818359</v>
      </c>
      <c r="AP92" s="3">
        <v>8.2600002288818359</v>
      </c>
      <c r="AR92" s="1">
        <v>29.169999999999998</v>
      </c>
      <c r="AS92" s="1">
        <v>20.179999999999993</v>
      </c>
      <c r="AT92" s="1">
        <v>19.080000000000002</v>
      </c>
      <c r="CG92">
        <v>295</v>
      </c>
      <c r="CH92" s="13">
        <v>1103</v>
      </c>
      <c r="CI92" s="13">
        <v>1103</v>
      </c>
      <c r="CJ92">
        <v>0</v>
      </c>
      <c r="CK92">
        <v>48</v>
      </c>
      <c r="CL92">
        <v>0.30000001192092896</v>
      </c>
      <c r="CM92" s="1">
        <v>42.200000762939453</v>
      </c>
      <c r="CR92">
        <v>4195.8818359375</v>
      </c>
      <c r="CS92">
        <v>4.7946463155312813E-7</v>
      </c>
      <c r="CT92">
        <v>0.66273361444473267</v>
      </c>
    </row>
    <row r="93" spans="1:98" x14ac:dyDescent="0.3">
      <c r="A93" s="4">
        <v>3.98</v>
      </c>
      <c r="B93" s="6">
        <v>780</v>
      </c>
      <c r="C93" s="5">
        <v>29.96</v>
      </c>
      <c r="D93">
        <v>1</v>
      </c>
      <c r="E93">
        <v>4</v>
      </c>
      <c r="F93">
        <v>575</v>
      </c>
      <c r="G93" s="12">
        <v>167.4</v>
      </c>
      <c r="H93" s="5">
        <v>50.2</v>
      </c>
      <c r="I93" s="5">
        <v>45.13</v>
      </c>
      <c r="J93" s="5">
        <v>30.82</v>
      </c>
      <c r="K93" s="5">
        <f t="shared" si="17"/>
        <v>47.665000000000006</v>
      </c>
      <c r="L93" s="5">
        <f t="shared" si="18"/>
        <v>5.07</v>
      </c>
      <c r="M93" s="5">
        <f t="shared" si="19"/>
        <v>16.845000000000006</v>
      </c>
      <c r="N93" s="13">
        <v>589</v>
      </c>
      <c r="O93" s="17">
        <f t="shared" si="20"/>
        <v>1.9207219714899526E-4</v>
      </c>
      <c r="P93">
        <f t="shared" si="21"/>
        <v>1.8360195297558639E-4</v>
      </c>
      <c r="Q93" s="11">
        <f t="shared" si="24"/>
        <v>508.59341943400608</v>
      </c>
      <c r="R93" s="15">
        <f t="shared" si="22"/>
        <v>80.40658056599392</v>
      </c>
      <c r="S93" s="9">
        <f t="shared" si="23"/>
        <v>15.809599081221947</v>
      </c>
      <c r="V93" s="14">
        <v>0.01</v>
      </c>
      <c r="W93" s="9">
        <v>0.52</v>
      </c>
      <c r="X93" s="6">
        <v>800</v>
      </c>
      <c r="AE93">
        <v>1</v>
      </c>
      <c r="AJ93" s="13">
        <v>638</v>
      </c>
      <c r="AK93" s="13">
        <v>638</v>
      </c>
      <c r="AL93" s="10">
        <v>-2.9126213592232997E-2</v>
      </c>
      <c r="AM93" s="1">
        <v>33.400001525878906</v>
      </c>
      <c r="AN93" s="2">
        <v>22</v>
      </c>
      <c r="AO93" s="3">
        <v>7.0399999618530273</v>
      </c>
      <c r="AP93" s="3">
        <v>7.0399999618530273</v>
      </c>
      <c r="AR93" s="1">
        <v>16.020000000000003</v>
      </c>
      <c r="AS93" s="1">
        <v>11.36</v>
      </c>
      <c r="AT93" s="1">
        <v>10.340000000000003</v>
      </c>
      <c r="CG93">
        <v>360</v>
      </c>
      <c r="CH93" s="13">
        <v>638</v>
      </c>
      <c r="CI93" s="13">
        <v>638</v>
      </c>
      <c r="CJ93">
        <v>0</v>
      </c>
      <c r="CK93">
        <v>49</v>
      </c>
      <c r="CL93">
        <v>0.40000000596046448</v>
      </c>
      <c r="CM93" s="1">
        <v>33.400001525878906</v>
      </c>
      <c r="CR93">
        <v>4194.61279296875</v>
      </c>
      <c r="CS93">
        <v>6.1001094309176551E-7</v>
      </c>
      <c r="CT93">
        <v>0.64704197645187378</v>
      </c>
    </row>
    <row r="94" spans="1:98" x14ac:dyDescent="0.3">
      <c r="A94" s="4">
        <v>5.97</v>
      </c>
      <c r="B94" s="6">
        <v>780</v>
      </c>
      <c r="C94" s="5">
        <v>18.18</v>
      </c>
      <c r="D94">
        <v>1</v>
      </c>
      <c r="E94">
        <v>4</v>
      </c>
      <c r="F94">
        <v>749</v>
      </c>
      <c r="G94" s="12">
        <v>234</v>
      </c>
      <c r="H94" s="5">
        <v>39.97</v>
      </c>
      <c r="I94" s="5">
        <v>35.340000000000003</v>
      </c>
      <c r="J94" s="5">
        <v>18.899999999999999</v>
      </c>
      <c r="K94" s="5">
        <f t="shared" si="17"/>
        <v>37.655000000000001</v>
      </c>
      <c r="L94" s="5">
        <f t="shared" si="18"/>
        <v>4.6299999999999955</v>
      </c>
      <c r="M94" s="5">
        <f t="shared" si="19"/>
        <v>18.755000000000003</v>
      </c>
      <c r="N94" s="13">
        <v>812.27</v>
      </c>
      <c r="O94" s="17">
        <f t="shared" si="20"/>
        <v>1.6183395552499109E-4</v>
      </c>
      <c r="P94">
        <f t="shared" si="21"/>
        <v>1.5167732002951094E-4</v>
      </c>
      <c r="Q94" s="11">
        <f t="shared" si="24"/>
        <v>840.89998804600259</v>
      </c>
      <c r="R94" s="15">
        <f t="shared" si="22"/>
        <v>28.629988046002609</v>
      </c>
      <c r="S94" s="9">
        <f t="shared" si="23"/>
        <v>3.4046840828871994</v>
      </c>
      <c r="V94" s="14">
        <v>0.01</v>
      </c>
      <c r="W94" s="9">
        <v>0.62</v>
      </c>
      <c r="X94" s="6">
        <v>1400</v>
      </c>
      <c r="AE94">
        <v>1</v>
      </c>
      <c r="AJ94" s="13">
        <v>3084</v>
      </c>
      <c r="AK94" s="13">
        <v>3084</v>
      </c>
      <c r="AL94" s="10">
        <v>3.6356487813402172E-2</v>
      </c>
      <c r="AM94" s="1">
        <v>63.5</v>
      </c>
      <c r="AN94" s="2">
        <v>5</v>
      </c>
      <c r="AO94" s="3">
        <v>7.929999828338623</v>
      </c>
      <c r="AP94" s="3">
        <v>7.929999828338623</v>
      </c>
      <c r="AR94" s="1">
        <v>50.010000000000005</v>
      </c>
      <c r="AS94" s="1">
        <v>9.9000000000000057</v>
      </c>
      <c r="AT94" s="1">
        <v>45.06</v>
      </c>
      <c r="CG94">
        <v>280</v>
      </c>
      <c r="CH94" s="13">
        <v>3084</v>
      </c>
      <c r="CI94" s="13">
        <v>3084</v>
      </c>
      <c r="CJ94">
        <v>0</v>
      </c>
      <c r="CK94">
        <v>275</v>
      </c>
      <c r="CL94">
        <v>11.300000190734863</v>
      </c>
      <c r="CM94" s="1">
        <v>63.5</v>
      </c>
      <c r="CR94">
        <v>4200.646484375</v>
      </c>
      <c r="CS94">
        <v>3.6244153989173356E-7</v>
      </c>
      <c r="CT94">
        <v>0.67579704523086548</v>
      </c>
    </row>
    <row r="95" spans="1:98" x14ac:dyDescent="0.3">
      <c r="A95" s="4">
        <v>7.97</v>
      </c>
      <c r="B95" s="6">
        <v>780</v>
      </c>
      <c r="C95" s="5">
        <v>29.34</v>
      </c>
      <c r="D95">
        <v>1</v>
      </c>
      <c r="E95">
        <v>4</v>
      </c>
      <c r="F95">
        <v>917</v>
      </c>
      <c r="G95" s="12">
        <v>297.8</v>
      </c>
      <c r="H95" s="5">
        <v>60.04</v>
      </c>
      <c r="I95" s="5">
        <v>44.86</v>
      </c>
      <c r="J95" s="5">
        <v>30.24</v>
      </c>
      <c r="K95" s="5">
        <f t="shared" si="17"/>
        <v>52.45</v>
      </c>
      <c r="L95" s="5">
        <f t="shared" si="18"/>
        <v>15.18</v>
      </c>
      <c r="M95" s="5">
        <f t="shared" si="19"/>
        <v>22.210000000000004</v>
      </c>
      <c r="N95" s="13">
        <v>880</v>
      </c>
      <c r="O95" s="17">
        <f t="shared" si="20"/>
        <v>1.5832633406365201E-4</v>
      </c>
      <c r="P95">
        <f t="shared" si="21"/>
        <v>1.573814722323598E-4</v>
      </c>
      <c r="Q95" s="11">
        <f t="shared" si="24"/>
        <v>879.99994869536579</v>
      </c>
      <c r="R95" s="15">
        <f t="shared" si="22"/>
        <v>5.1304634212101519E-5</v>
      </c>
      <c r="S95" s="9">
        <f t="shared" si="23"/>
        <v>5.8300724026238981E-6</v>
      </c>
      <c r="V95" s="14">
        <v>0.01</v>
      </c>
      <c r="W95" s="9">
        <v>0.61</v>
      </c>
      <c r="X95" s="6">
        <v>1400</v>
      </c>
      <c r="AE95">
        <v>1</v>
      </c>
      <c r="AJ95" s="13">
        <v>3758</v>
      </c>
      <c r="AK95" s="13">
        <v>3758</v>
      </c>
      <c r="AL95" s="10">
        <v>3.3837689133425108E-2</v>
      </c>
      <c r="AM95" s="1">
        <v>59.299999237060547</v>
      </c>
      <c r="AN95" s="2">
        <v>7</v>
      </c>
      <c r="AO95" s="3">
        <v>7.9200000762939453</v>
      </c>
      <c r="AP95" s="3">
        <v>7.9200000762939453</v>
      </c>
      <c r="AR95" s="1">
        <v>49.3</v>
      </c>
      <c r="AS95" s="1">
        <v>11.240000000000009</v>
      </c>
      <c r="AT95" s="1">
        <v>43.679999999999993</v>
      </c>
      <c r="CG95">
        <v>395</v>
      </c>
      <c r="CH95" s="13">
        <v>3758</v>
      </c>
      <c r="CI95" s="13">
        <v>3758</v>
      </c>
      <c r="CJ95">
        <v>0</v>
      </c>
      <c r="CK95">
        <v>295</v>
      </c>
      <c r="CL95">
        <v>12.899999618530273</v>
      </c>
      <c r="CM95" s="1">
        <v>59.299999237060547</v>
      </c>
      <c r="CR95">
        <v>4200.37744140625</v>
      </c>
      <c r="CS95">
        <v>3.6589250385077321E-7</v>
      </c>
      <c r="CT95">
        <v>0.67550283670425415</v>
      </c>
    </row>
    <row r="96" spans="1:98" x14ac:dyDescent="0.3">
      <c r="A96" s="4">
        <v>7.97</v>
      </c>
      <c r="B96" s="6">
        <v>780</v>
      </c>
      <c r="C96" s="5">
        <v>29.53</v>
      </c>
      <c r="D96">
        <v>1</v>
      </c>
      <c r="E96">
        <v>4</v>
      </c>
      <c r="F96">
        <v>917</v>
      </c>
      <c r="G96" s="12">
        <v>296.10000000000002</v>
      </c>
      <c r="H96" s="5">
        <v>69.989999999999995</v>
      </c>
      <c r="I96" s="5">
        <v>49.81</v>
      </c>
      <c r="J96" s="5">
        <v>30.73</v>
      </c>
      <c r="K96" s="5">
        <f t="shared" si="17"/>
        <v>59.9</v>
      </c>
      <c r="L96" s="5">
        <f t="shared" si="18"/>
        <v>20.179999999999993</v>
      </c>
      <c r="M96" s="5">
        <f t="shared" si="19"/>
        <v>29.169999999999998</v>
      </c>
      <c r="N96" s="13">
        <v>1170.49</v>
      </c>
      <c r="O96" s="17">
        <f t="shared" si="20"/>
        <v>1.5714783854287696E-4</v>
      </c>
      <c r="P96">
        <f t="shared" si="21"/>
        <v>1.5661318859986394E-4</v>
      </c>
      <c r="Q96" s="11">
        <f t="shared" si="24"/>
        <v>1176.2123663595009</v>
      </c>
      <c r="R96" s="15">
        <f t="shared" si="22"/>
        <v>5.7223663595009384</v>
      </c>
      <c r="S96" s="9">
        <f t="shared" si="23"/>
        <v>0.48650792349788086</v>
      </c>
      <c r="V96" s="14">
        <v>0.01</v>
      </c>
      <c r="W96" s="9">
        <v>0.51</v>
      </c>
      <c r="X96" s="6">
        <v>1400</v>
      </c>
      <c r="AC96" s="9"/>
      <c r="AE96">
        <v>1</v>
      </c>
      <c r="AJ96" s="13">
        <v>1547</v>
      </c>
      <c r="AK96" s="13">
        <v>1547</v>
      </c>
      <c r="AL96" s="10">
        <v>3.4132384988702746E-2</v>
      </c>
      <c r="AM96" s="1">
        <v>48.5</v>
      </c>
      <c r="AN96" s="2">
        <v>10</v>
      </c>
      <c r="AO96" s="3">
        <v>6.9699997901916504</v>
      </c>
      <c r="AP96" s="3">
        <v>6.9699997901916504</v>
      </c>
      <c r="AR96" s="1">
        <v>37.105000000000004</v>
      </c>
      <c r="AS96" s="1">
        <v>29.549999999999997</v>
      </c>
      <c r="AT96" s="1">
        <v>22.330000000000005</v>
      </c>
      <c r="CG96">
        <v>230</v>
      </c>
      <c r="CH96" s="13">
        <v>1547</v>
      </c>
      <c r="CI96" s="13">
        <v>1547</v>
      </c>
      <c r="CJ96">
        <v>0</v>
      </c>
      <c r="CK96">
        <v>46</v>
      </c>
      <c r="CL96">
        <v>0.5</v>
      </c>
      <c r="CM96" s="1">
        <v>48.5</v>
      </c>
      <c r="CR96">
        <v>4196.62109375</v>
      </c>
      <c r="CS96">
        <v>4.4649513597505575E-7</v>
      </c>
      <c r="CT96">
        <v>0.66683417558670044</v>
      </c>
    </row>
    <row r="97" spans="1:98" x14ac:dyDescent="0.3">
      <c r="A97" s="4">
        <v>4.97</v>
      </c>
      <c r="B97" s="6">
        <v>780</v>
      </c>
      <c r="C97" s="5">
        <v>19.3</v>
      </c>
      <c r="D97">
        <v>1</v>
      </c>
      <c r="E97">
        <v>4</v>
      </c>
      <c r="F97">
        <v>662</v>
      </c>
      <c r="G97" s="12">
        <v>200.8</v>
      </c>
      <c r="H97" s="5">
        <v>39.89</v>
      </c>
      <c r="I97" s="5">
        <v>35.06</v>
      </c>
      <c r="J97" s="5">
        <v>19.93</v>
      </c>
      <c r="K97" s="5">
        <f t="shared" si="17"/>
        <v>37.475000000000001</v>
      </c>
      <c r="L97" s="5">
        <f t="shared" si="18"/>
        <v>4.8299999999999983</v>
      </c>
      <c r="M97" s="5">
        <f t="shared" si="19"/>
        <v>17.545000000000002</v>
      </c>
      <c r="N97" s="13">
        <v>674.92</v>
      </c>
      <c r="O97" s="17">
        <f t="shared" si="20"/>
        <v>1.6668149780087613E-4</v>
      </c>
      <c r="P97">
        <f t="shared" si="21"/>
        <v>1.5734857685505108E-4</v>
      </c>
      <c r="Q97" s="11">
        <f t="shared" si="24"/>
        <v>675.05316125947024</v>
      </c>
      <c r="R97" s="15">
        <f t="shared" si="22"/>
        <v>0.13316125947028468</v>
      </c>
      <c r="S97" s="9">
        <f t="shared" si="23"/>
        <v>1.9726040423517777E-2</v>
      </c>
      <c r="V97" s="14">
        <v>0.01</v>
      </c>
      <c r="W97" s="9">
        <v>0.59</v>
      </c>
      <c r="X97" s="6">
        <v>1400</v>
      </c>
      <c r="AC97" s="5"/>
      <c r="AE97">
        <v>1</v>
      </c>
      <c r="AG97" s="13"/>
      <c r="AH97" s="13"/>
      <c r="AI97" s="10"/>
      <c r="AJ97" s="13">
        <v>2577</v>
      </c>
      <c r="AK97" s="13">
        <v>2577</v>
      </c>
      <c r="AL97" s="10">
        <v>6.4361926483682552E-3</v>
      </c>
      <c r="AM97" s="1">
        <v>51.700000762939453</v>
      </c>
      <c r="AN97" s="2">
        <v>7</v>
      </c>
      <c r="AO97" s="3">
        <v>5.6599998474121094</v>
      </c>
      <c r="AP97" s="3">
        <v>5.6599998474121094</v>
      </c>
      <c r="AR97" s="1">
        <v>43.569999999999993</v>
      </c>
      <c r="AS97" s="1">
        <v>14.860000000000007</v>
      </c>
      <c r="AT97" s="1">
        <v>36.139999999999986</v>
      </c>
      <c r="AV97" s="7"/>
      <c r="AW97" s="3"/>
      <c r="AX97" s="7"/>
      <c r="AZ97" s="10"/>
      <c r="BB97" s="10"/>
      <c r="CD97" s="10"/>
      <c r="CE97" s="10"/>
      <c r="CF97" s="10"/>
      <c r="CG97">
        <v>285</v>
      </c>
      <c r="CH97" s="13">
        <v>2577</v>
      </c>
      <c r="CI97" s="13">
        <v>2577</v>
      </c>
      <c r="CJ97">
        <v>0</v>
      </c>
      <c r="CK97">
        <v>152</v>
      </c>
      <c r="CL97">
        <v>4.0999999046325684</v>
      </c>
      <c r="CM97" s="1">
        <v>51.700000762939453</v>
      </c>
      <c r="CR97">
        <v>4197.177734375</v>
      </c>
      <c r="CS97">
        <v>4.2820258272513456E-7</v>
      </c>
      <c r="CT97">
        <v>0.6690220832824707</v>
      </c>
    </row>
    <row r="98" spans="1:98" x14ac:dyDescent="0.3">
      <c r="A98" s="4">
        <v>4.97</v>
      </c>
      <c r="B98" s="6">
        <v>780</v>
      </c>
      <c r="C98" s="5">
        <v>18.87</v>
      </c>
      <c r="D98">
        <v>1</v>
      </c>
      <c r="E98">
        <v>4</v>
      </c>
      <c r="F98">
        <v>662</v>
      </c>
      <c r="G98" s="12">
        <v>195.6</v>
      </c>
      <c r="H98" s="5">
        <v>75.34</v>
      </c>
      <c r="I98" s="5">
        <v>65.040000000000006</v>
      </c>
      <c r="J98" s="5">
        <v>19.97</v>
      </c>
      <c r="K98" s="5">
        <f t="shared" si="17"/>
        <v>70.19</v>
      </c>
      <c r="L98" s="5">
        <f t="shared" si="18"/>
        <v>10.299999999999997</v>
      </c>
      <c r="M98" s="5">
        <f t="shared" si="19"/>
        <v>50.22</v>
      </c>
      <c r="N98" s="13">
        <v>2014.29</v>
      </c>
      <c r="O98" s="17">
        <f t="shared" si="20"/>
        <v>1.5727297217296962E-4</v>
      </c>
      <c r="P98">
        <f t="shared" si="21"/>
        <v>1.5522068845675641E-4</v>
      </c>
      <c r="Q98" s="11">
        <f t="shared" si="24"/>
        <v>2041.9643454278346</v>
      </c>
      <c r="R98" s="15">
        <f t="shared" si="22"/>
        <v>27.674345427834623</v>
      </c>
      <c r="S98" s="9">
        <f t="shared" si="23"/>
        <v>1.3552805410045665</v>
      </c>
      <c r="V98" s="14">
        <v>0.01</v>
      </c>
      <c r="W98" s="9">
        <v>0.61</v>
      </c>
      <c r="X98" s="6">
        <v>1400</v>
      </c>
      <c r="AC98" s="5"/>
      <c r="AE98">
        <v>1</v>
      </c>
      <c r="AG98" s="13"/>
      <c r="AH98" s="13"/>
      <c r="AI98" s="10"/>
      <c r="AJ98" s="13">
        <v>3253</v>
      </c>
      <c r="AK98" s="13">
        <v>3253</v>
      </c>
      <c r="AL98" s="10">
        <v>2.3854262072698917E-2</v>
      </c>
      <c r="AM98" s="1">
        <v>50.799999237060547</v>
      </c>
      <c r="AN98" s="2">
        <v>7</v>
      </c>
      <c r="AO98" s="3">
        <v>5.320000171661377</v>
      </c>
      <c r="AP98" s="3">
        <v>5.320000171661377</v>
      </c>
      <c r="AR98" s="1">
        <v>45.704999999999998</v>
      </c>
      <c r="AS98" s="1">
        <v>11.830000000000005</v>
      </c>
      <c r="AT98" s="1">
        <v>39.789999999999992</v>
      </c>
      <c r="AV98" s="7"/>
      <c r="AW98" s="3"/>
      <c r="AX98" s="7"/>
      <c r="AZ98" s="10"/>
      <c r="BB98" s="10"/>
      <c r="CD98" s="10"/>
      <c r="CE98" s="10"/>
      <c r="CF98" s="10"/>
      <c r="CG98">
        <v>355</v>
      </c>
      <c r="CH98" s="13">
        <v>3253</v>
      </c>
      <c r="CI98" s="13">
        <v>3253</v>
      </c>
      <c r="CJ98">
        <v>0</v>
      </c>
      <c r="CK98">
        <v>241</v>
      </c>
      <c r="CL98">
        <v>9.3000001907348633</v>
      </c>
      <c r="CM98" s="1">
        <v>50.799999237060547</v>
      </c>
      <c r="CR98">
        <v>4197.41015625</v>
      </c>
      <c r="CS98">
        <v>4.2161431679232919E-7</v>
      </c>
      <c r="CT98">
        <v>0.66978687047958374</v>
      </c>
    </row>
    <row r="99" spans="1:98" x14ac:dyDescent="0.3">
      <c r="B99" s="6"/>
      <c r="C99" s="5"/>
      <c r="G99" s="12"/>
      <c r="H99" s="5"/>
      <c r="I99" s="5"/>
      <c r="J99" s="5"/>
      <c r="K99" s="5"/>
      <c r="L99" s="5"/>
      <c r="M99" s="5"/>
      <c r="N99" s="13"/>
      <c r="U99">
        <v>-0.47750682837461739</v>
      </c>
      <c r="V99" s="14"/>
      <c r="W99" s="9"/>
      <c r="X99" s="6"/>
      <c r="AC99" s="9"/>
      <c r="AJ99" s="13"/>
      <c r="AK99" s="13"/>
      <c r="AL99" s="10"/>
      <c r="AM99" s="1"/>
      <c r="AN99" s="2"/>
      <c r="AO99" s="3"/>
      <c r="AP99" s="3"/>
      <c r="AR99" s="1"/>
      <c r="AS99" s="1"/>
      <c r="CH99" s="13"/>
      <c r="CI99" s="13"/>
    </row>
    <row r="100" spans="1:98" x14ac:dyDescent="0.3">
      <c r="B100" s="6"/>
      <c r="C100" s="5"/>
      <c r="G100" s="12"/>
      <c r="H100" s="5"/>
      <c r="I100" s="5"/>
      <c r="J100" s="5"/>
      <c r="K100" s="5"/>
      <c r="L100" s="5"/>
      <c r="M100" s="5"/>
      <c r="N100" s="13"/>
      <c r="P100">
        <f>AVERAGE(P103:P134)</f>
        <v>1.3795244749912237E-3</v>
      </c>
      <c r="Q100" s="18">
        <v>0.9162282324547868</v>
      </c>
      <c r="R100" s="18">
        <v>1.3766612813662848E-3</v>
      </c>
      <c r="S100" s="18">
        <v>1.4618930990006553</v>
      </c>
      <c r="T100" s="18">
        <v>0.14098874533490124</v>
      </c>
      <c r="U100" s="18">
        <v>-1.5851502328414642E-3</v>
      </c>
      <c r="V100" s="14"/>
      <c r="W100" s="9"/>
      <c r="X100" s="6"/>
      <c r="AC100" s="9"/>
      <c r="AJ100" s="13"/>
      <c r="AK100" s="13"/>
      <c r="AL100" s="10"/>
      <c r="AM100" s="1"/>
      <c r="AN100" s="2"/>
      <c r="AO100" s="3"/>
      <c r="AP100" s="3"/>
      <c r="AR100" s="1"/>
      <c r="AS100" s="1"/>
      <c r="CH100" s="13"/>
      <c r="CI100" s="13"/>
    </row>
    <row r="101" spans="1:98" x14ac:dyDescent="0.3">
      <c r="B101" s="6"/>
      <c r="C101" s="5"/>
      <c r="G101" s="12"/>
      <c r="H101" s="5"/>
      <c r="I101" s="5"/>
      <c r="J101" s="5"/>
      <c r="K101" s="5"/>
      <c r="L101" s="5"/>
      <c r="M101" s="5"/>
      <c r="N101" s="13"/>
      <c r="Q101" s="18"/>
      <c r="R101" s="18"/>
      <c r="S101" s="20">
        <f>MEDIAN(S103:S134)</f>
        <v>3.1432977641609905</v>
      </c>
      <c r="T101" s="18"/>
      <c r="V101" s="14"/>
      <c r="W101" s="9"/>
      <c r="X101" s="6"/>
      <c r="AC101" s="9"/>
      <c r="AJ101" s="13"/>
      <c r="AK101" s="13"/>
      <c r="AL101" s="10"/>
      <c r="AM101" s="1"/>
      <c r="AN101" s="2"/>
      <c r="AO101" s="3"/>
      <c r="AP101" s="3"/>
      <c r="AR101" s="1"/>
      <c r="AS101" s="1"/>
      <c r="CH101" s="13"/>
      <c r="CI101" s="13"/>
    </row>
    <row r="102" spans="1:98" x14ac:dyDescent="0.3">
      <c r="A102" t="s">
        <v>49</v>
      </c>
      <c r="B102" s="6"/>
      <c r="C102" s="5"/>
      <c r="G102" s="12"/>
      <c r="H102" s="5"/>
      <c r="I102" s="5"/>
      <c r="J102" s="5"/>
      <c r="K102" s="5"/>
      <c r="L102" s="5"/>
      <c r="M102" s="5"/>
      <c r="N102" s="13"/>
      <c r="O102" s="17">
        <f>_xlfn.STDEV.P(O103:O134)</f>
        <v>1.416548806034417E-6</v>
      </c>
      <c r="P102" s="17">
        <f>_xlfn.STDEV.P(P103:P134)</f>
        <v>2.4149337117737217E-7</v>
      </c>
      <c r="S102" s="16">
        <f>AVERAGE(S103:S134)</f>
        <v>3.3808923909121527</v>
      </c>
      <c r="T102">
        <f>MAX(S103:S134)</f>
        <v>11.404749911812662</v>
      </c>
      <c r="V102" s="14"/>
      <c r="W102" s="9"/>
      <c r="X102" s="6"/>
      <c r="AC102" s="9"/>
      <c r="AJ102" s="13"/>
      <c r="AK102" s="13"/>
      <c r="AL102" s="10"/>
      <c r="AM102" s="1"/>
      <c r="AN102" s="2"/>
      <c r="AO102" s="3"/>
      <c r="AP102" s="3"/>
      <c r="AR102" s="1"/>
      <c r="AS102" s="1"/>
      <c r="CH102" s="13"/>
      <c r="CI102" s="13"/>
    </row>
    <row r="103" spans="1:98" x14ac:dyDescent="0.3">
      <c r="A103" s="4">
        <v>2.99</v>
      </c>
      <c r="B103" s="6">
        <v>1360</v>
      </c>
      <c r="C103" s="5">
        <v>25.94</v>
      </c>
      <c r="D103">
        <v>2</v>
      </c>
      <c r="E103">
        <v>2</v>
      </c>
      <c r="F103">
        <v>483</v>
      </c>
      <c r="G103" s="12">
        <v>235.9</v>
      </c>
      <c r="H103" s="5">
        <v>17</v>
      </c>
      <c r="I103" s="5">
        <v>18.989999999999998</v>
      </c>
      <c r="J103" s="5">
        <v>27.86</v>
      </c>
      <c r="K103" s="5">
        <f t="shared" ref="K103:K134" si="25">(H103+I103)/2</f>
        <v>17.994999999999997</v>
      </c>
      <c r="L103" s="5">
        <f t="shared" ref="L103:L134" si="26">-1*(H103-I103)</f>
        <v>1.9899999999999984</v>
      </c>
      <c r="M103" s="5">
        <f t="shared" ref="M103:M134" si="27">-1*(K103-J103)</f>
        <v>9.865000000000002</v>
      </c>
      <c r="N103" s="13">
        <v>390.87</v>
      </c>
      <c r="O103" s="17">
        <f t="shared" ref="O103:O134" si="28">N103/(M103^$Q$100*B103*F103^$S$100*K103^$T$100*L103^$U$99)</f>
        <v>3.888408847317232E-6</v>
      </c>
      <c r="P103">
        <f t="shared" ref="P103:P134" si="29">O103+L103^$U$100*$R$100</f>
        <v>1.3790488512208409E-3</v>
      </c>
      <c r="Q103" s="11">
        <f t="shared" ref="Q103:Q134" si="30">M103^$Q$100*B103*F103^$S$100*L103^$U$99*K103^$T$100*($P$100-L103^$U$100*$R$100)</f>
        <v>438.68057507822596</v>
      </c>
      <c r="R103" s="15">
        <f t="shared" ref="R103:R134" si="31">ABS(Q103-N103)</f>
        <v>47.810575078225952</v>
      </c>
      <c r="S103" s="16">
        <f t="shared" ref="S103:S134" si="32">ABS((1-N103/Q103)*100)</f>
        <v>10.898721711053728</v>
      </c>
      <c r="V103" s="14">
        <v>0.1</v>
      </c>
      <c r="W103" s="9">
        <v>0.9</v>
      </c>
      <c r="X103" s="6">
        <v>1400</v>
      </c>
      <c r="AC103" s="5">
        <v>25.869971516458758</v>
      </c>
      <c r="AE103">
        <v>3</v>
      </c>
      <c r="AJ103" s="13">
        <v>965</v>
      </c>
      <c r="AK103" s="13">
        <v>965</v>
      </c>
      <c r="AL103" s="10">
        <v>-1.0976622152073956E-2</v>
      </c>
      <c r="AM103" s="1">
        <v>19.5</v>
      </c>
      <c r="AN103" s="2">
        <v>50</v>
      </c>
      <c r="AO103" s="3">
        <v>7.0399999618530273</v>
      </c>
      <c r="AP103" s="3">
        <v>7.0399999618530273</v>
      </c>
      <c r="AR103" s="1">
        <v>-10.039999999999999</v>
      </c>
      <c r="AS103" s="1">
        <v>-1.9599999999999973</v>
      </c>
      <c r="AT103" s="1">
        <v>-9.06</v>
      </c>
      <c r="AU103">
        <v>3</v>
      </c>
      <c r="AV103" s="7">
        <v>0.74677274518859993</v>
      </c>
      <c r="AW103" s="3">
        <v>7.0399999618530273</v>
      </c>
      <c r="AX103" s="7">
        <v>0.33854744380544738</v>
      </c>
      <c r="AZ103" s="10">
        <v>0.25322725481140029</v>
      </c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>
        <v>0.25</v>
      </c>
      <c r="CE103" s="10">
        <v>1.2909019245601172E-2</v>
      </c>
      <c r="CF103" s="10">
        <v>0.2697</v>
      </c>
      <c r="CG103">
        <v>460</v>
      </c>
      <c r="CH103" s="13">
        <v>965</v>
      </c>
      <c r="CI103" s="13">
        <v>965</v>
      </c>
      <c r="CJ103">
        <v>0</v>
      </c>
      <c r="CK103">
        <v>423</v>
      </c>
      <c r="CL103">
        <v>5.9000000953674316</v>
      </c>
      <c r="CM103" s="1">
        <v>19.5</v>
      </c>
      <c r="CR103">
        <v>4192.18017578125</v>
      </c>
      <c r="CS103">
        <v>1.0584473102426273E-6</v>
      </c>
      <c r="CT103">
        <v>0.61375707387924194</v>
      </c>
    </row>
    <row r="104" spans="1:98" x14ac:dyDescent="0.3">
      <c r="A104" s="4">
        <v>2.99</v>
      </c>
      <c r="B104" s="6">
        <v>1360</v>
      </c>
      <c r="C104" s="5">
        <v>25.37</v>
      </c>
      <c r="D104">
        <v>2</v>
      </c>
      <c r="E104">
        <v>2</v>
      </c>
      <c r="F104">
        <v>483</v>
      </c>
      <c r="G104" s="12">
        <v>236.5</v>
      </c>
      <c r="H104" s="5">
        <v>15.01</v>
      </c>
      <c r="I104" s="5">
        <v>17.309999999999999</v>
      </c>
      <c r="J104" s="5">
        <v>27.94</v>
      </c>
      <c r="K104" s="5">
        <f t="shared" si="25"/>
        <v>16.16</v>
      </c>
      <c r="L104" s="5">
        <f t="shared" si="26"/>
        <v>2.2999999999999989</v>
      </c>
      <c r="M104" s="5">
        <f t="shared" si="27"/>
        <v>11.780000000000001</v>
      </c>
      <c r="N104" s="13">
        <v>452.21</v>
      </c>
      <c r="O104" s="17">
        <f t="shared" si="28"/>
        <v>4.1600139782761841E-6</v>
      </c>
      <c r="P104">
        <f t="shared" si="29"/>
        <v>1.3790049079432803E-3</v>
      </c>
      <c r="Q104" s="11">
        <f t="shared" si="30"/>
        <v>508.68899645949017</v>
      </c>
      <c r="R104" s="15">
        <f t="shared" si="31"/>
        <v>56.47899645949019</v>
      </c>
      <c r="S104" s="16">
        <f t="shared" si="32"/>
        <v>11.102853974154703</v>
      </c>
      <c r="V104" s="14">
        <v>0.1</v>
      </c>
      <c r="W104" s="9">
        <v>0.9</v>
      </c>
      <c r="X104" s="6">
        <v>1400</v>
      </c>
      <c r="AC104" s="5">
        <v>25.111956464253964</v>
      </c>
      <c r="AE104">
        <v>3</v>
      </c>
      <c r="AJ104" s="13">
        <v>1104</v>
      </c>
      <c r="AK104" s="13">
        <v>1104</v>
      </c>
      <c r="AL104" s="10">
        <v>-1.5428520467314688E-2</v>
      </c>
      <c r="AM104" s="1">
        <v>17.899999618530273</v>
      </c>
      <c r="AN104" s="2">
        <v>55</v>
      </c>
      <c r="AO104" s="3">
        <v>6.9499998092651367</v>
      </c>
      <c r="AP104" s="3">
        <v>6.9499998092651367</v>
      </c>
      <c r="AR104" s="1">
        <v>-11.71</v>
      </c>
      <c r="AS104" s="1">
        <v>-2.2400000000000002</v>
      </c>
      <c r="AT104" s="1">
        <v>-10.59</v>
      </c>
      <c r="AU104">
        <v>4</v>
      </c>
      <c r="AV104" s="7">
        <v>0.72701175084583847</v>
      </c>
      <c r="AW104" s="3">
        <v>6.9499998092651367</v>
      </c>
      <c r="AX104" s="7">
        <v>0.34966330178255539</v>
      </c>
      <c r="AZ104" s="10">
        <v>0.27298824915416148</v>
      </c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>
        <v>0.26</v>
      </c>
      <c r="CE104" s="10">
        <v>4.9954804439082567E-2</v>
      </c>
      <c r="CF104" s="10">
        <v>0.28549999999999998</v>
      </c>
      <c r="CG104">
        <v>460</v>
      </c>
      <c r="CH104" s="13">
        <v>1104</v>
      </c>
      <c r="CI104" s="13">
        <v>1104</v>
      </c>
      <c r="CJ104">
        <v>0</v>
      </c>
      <c r="CK104">
        <v>424</v>
      </c>
      <c r="CL104">
        <v>5.9000000953674316</v>
      </c>
      <c r="CM104" s="1">
        <v>17.899999618530273</v>
      </c>
      <c r="CR104">
        <v>4191.81787109375</v>
      </c>
      <c r="CS104">
        <v>1.1123414651592611E-6</v>
      </c>
      <c r="CT104">
        <v>0.61097609996795654</v>
      </c>
    </row>
    <row r="105" spans="1:98" x14ac:dyDescent="0.3">
      <c r="A105" s="4">
        <v>2.99</v>
      </c>
      <c r="B105" s="6">
        <v>1360</v>
      </c>
      <c r="C105" s="5">
        <v>26.39</v>
      </c>
      <c r="D105">
        <v>2</v>
      </c>
      <c r="E105">
        <v>2</v>
      </c>
      <c r="F105">
        <v>483</v>
      </c>
      <c r="G105" s="12">
        <v>235.4</v>
      </c>
      <c r="H105" s="5">
        <v>19.12</v>
      </c>
      <c r="I105" s="5">
        <v>20.78</v>
      </c>
      <c r="J105" s="5">
        <v>28</v>
      </c>
      <c r="K105" s="5">
        <f t="shared" si="25"/>
        <v>19.950000000000003</v>
      </c>
      <c r="L105" s="5">
        <f t="shared" si="26"/>
        <v>1.6600000000000001</v>
      </c>
      <c r="M105" s="5">
        <f t="shared" si="27"/>
        <v>8.0499999999999972</v>
      </c>
      <c r="N105" s="13">
        <v>324.58999999999997</v>
      </c>
      <c r="O105" s="17">
        <f t="shared" si="28"/>
        <v>3.5161101925587548E-6</v>
      </c>
      <c r="P105">
        <f t="shared" si="29"/>
        <v>1.3790718507549515E-3</v>
      </c>
      <c r="Q105" s="11">
        <f t="shared" si="30"/>
        <v>366.37404339048027</v>
      </c>
      <c r="R105" s="15">
        <f t="shared" si="31"/>
        <v>41.784043390480292</v>
      </c>
      <c r="S105" s="16">
        <f t="shared" si="32"/>
        <v>11.404749911812662</v>
      </c>
      <c r="V105" s="14">
        <v>0.1</v>
      </c>
      <c r="W105" s="9">
        <v>0.9</v>
      </c>
      <c r="X105" s="6">
        <v>1400</v>
      </c>
      <c r="AC105" s="5">
        <v>26.443101665051504</v>
      </c>
      <c r="AE105">
        <v>3</v>
      </c>
      <c r="AJ105" s="13">
        <v>808</v>
      </c>
      <c r="AK105" s="13">
        <v>808</v>
      </c>
      <c r="AL105" s="10">
        <v>-1.1496668438554236E-3</v>
      </c>
      <c r="AM105" s="1">
        <v>21.100000381469727</v>
      </c>
      <c r="AN105" s="2">
        <v>45</v>
      </c>
      <c r="AO105" s="3">
        <v>7.0300002098083496</v>
      </c>
      <c r="AP105" s="3">
        <v>7.0300002098083496</v>
      </c>
      <c r="AR105" s="1">
        <v>-8.16</v>
      </c>
      <c r="AS105" s="1">
        <v>-1.6199999999999974</v>
      </c>
      <c r="AT105" s="1">
        <v>-7.3500000000000014</v>
      </c>
      <c r="AU105">
        <v>3</v>
      </c>
      <c r="AV105" s="7">
        <v>0.77436254767791979</v>
      </c>
      <c r="AW105" s="3">
        <v>7.0300002098083496</v>
      </c>
      <c r="AX105" s="7">
        <v>0.32681119066635483</v>
      </c>
      <c r="AZ105" s="10">
        <v>0.2256374523220801</v>
      </c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>
        <v>0.24</v>
      </c>
      <c r="CE105" s="10">
        <v>5.9843948657999545E-2</v>
      </c>
      <c r="CF105" s="10">
        <v>0.24970000000000001</v>
      </c>
      <c r="CG105">
        <v>460</v>
      </c>
      <c r="CH105" s="13">
        <v>808</v>
      </c>
      <c r="CI105" s="13">
        <v>808</v>
      </c>
      <c r="CJ105">
        <v>0</v>
      </c>
      <c r="CK105">
        <v>429</v>
      </c>
      <c r="CL105">
        <v>5.9000000953674316</v>
      </c>
      <c r="CM105" s="1">
        <v>21.100000381469727</v>
      </c>
      <c r="CR105">
        <v>4192.5</v>
      </c>
      <c r="CS105">
        <v>1.0092004458783776E-6</v>
      </c>
      <c r="CT105">
        <v>0.61643832921981812</v>
      </c>
    </row>
    <row r="106" spans="1:98" x14ac:dyDescent="0.3">
      <c r="A106" s="4">
        <v>2.99</v>
      </c>
      <c r="B106" s="6">
        <v>1360</v>
      </c>
      <c r="C106" s="5">
        <v>23</v>
      </c>
      <c r="D106">
        <v>2</v>
      </c>
      <c r="E106">
        <v>2</v>
      </c>
      <c r="F106">
        <v>483</v>
      </c>
      <c r="G106" s="12">
        <v>238.4</v>
      </c>
      <c r="H106" s="5">
        <v>6.11</v>
      </c>
      <c r="I106" s="5">
        <v>12.05</v>
      </c>
      <c r="J106" s="5">
        <v>27.99</v>
      </c>
      <c r="K106" s="5">
        <f t="shared" si="25"/>
        <v>9.08</v>
      </c>
      <c r="L106" s="5">
        <f t="shared" si="26"/>
        <v>5.94</v>
      </c>
      <c r="M106" s="5">
        <f t="shared" si="27"/>
        <v>18.909999999999997</v>
      </c>
      <c r="N106" s="13">
        <v>662.76</v>
      </c>
      <c r="O106" s="17">
        <f t="shared" si="28"/>
        <v>6.7428229914124052E-6</v>
      </c>
      <c r="P106">
        <f t="shared" si="29"/>
        <v>1.3795215173797129E-3</v>
      </c>
      <c r="Q106" s="11">
        <f t="shared" si="30"/>
        <v>663.05070711292672</v>
      </c>
      <c r="R106" s="15">
        <f t="shared" si="31"/>
        <v>0.29070711292672513</v>
      </c>
      <c r="S106" s="16">
        <f t="shared" si="32"/>
        <v>4.3843873448612403E-2</v>
      </c>
      <c r="V106" s="14">
        <v>0.25</v>
      </c>
      <c r="W106" s="9">
        <v>0.89</v>
      </c>
      <c r="X106" s="6">
        <v>1400</v>
      </c>
      <c r="AC106" s="5">
        <v>25.276187388166139</v>
      </c>
      <c r="AE106">
        <v>3</v>
      </c>
      <c r="AJ106" s="13">
        <v>731</v>
      </c>
      <c r="AK106" s="13">
        <v>731</v>
      </c>
      <c r="AL106" s="10">
        <v>-6.1713816296144253E-2</v>
      </c>
      <c r="AM106" s="1">
        <v>19.899999618530273</v>
      </c>
      <c r="AN106" s="2">
        <v>47</v>
      </c>
      <c r="AO106" s="3">
        <v>6.8000001907348633</v>
      </c>
      <c r="AP106" s="3">
        <v>6.8000001907348633</v>
      </c>
      <c r="AR106" s="1">
        <v>-8.990000000000002</v>
      </c>
      <c r="AS106" s="1">
        <v>-2.879999999999999</v>
      </c>
      <c r="AT106" s="1">
        <v>-7.5500000000000025</v>
      </c>
      <c r="AU106">
        <v>3</v>
      </c>
      <c r="AV106" s="7">
        <v>0.71396912314452332</v>
      </c>
      <c r="AW106" s="3">
        <v>6.8000001907348633</v>
      </c>
      <c r="AX106" s="7">
        <v>0.33886852068799322</v>
      </c>
      <c r="AZ106" s="10">
        <v>0.28603087685547679</v>
      </c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>
        <v>0.24</v>
      </c>
      <c r="CE106" s="10">
        <v>0.19179532023115334</v>
      </c>
      <c r="CF106" s="10">
        <v>0.27739999999999998</v>
      </c>
      <c r="CG106">
        <v>410</v>
      </c>
      <c r="CH106" s="13">
        <v>731</v>
      </c>
      <c r="CI106" s="13">
        <v>731</v>
      </c>
      <c r="CJ106">
        <v>0</v>
      </c>
      <c r="CK106">
        <v>218</v>
      </c>
      <c r="CL106">
        <v>1.7999999523162842</v>
      </c>
      <c r="CM106" s="1">
        <v>19.899999618530273</v>
      </c>
      <c r="CR106">
        <v>4192.26123046875</v>
      </c>
      <c r="CS106">
        <v>1.0461322972332709E-6</v>
      </c>
      <c r="CT106">
        <v>0.6144142746925354</v>
      </c>
    </row>
    <row r="107" spans="1:98" x14ac:dyDescent="0.3">
      <c r="A107" s="4">
        <v>3.99</v>
      </c>
      <c r="B107" s="6">
        <v>1360</v>
      </c>
      <c r="C107" s="5">
        <v>20.53</v>
      </c>
      <c r="D107">
        <v>2</v>
      </c>
      <c r="E107">
        <v>2</v>
      </c>
      <c r="F107">
        <v>570</v>
      </c>
      <c r="G107" s="12">
        <v>295.89999999999998</v>
      </c>
      <c r="H107" s="5">
        <v>10</v>
      </c>
      <c r="I107" s="5">
        <v>13.67</v>
      </c>
      <c r="J107" s="5">
        <v>22.01</v>
      </c>
      <c r="K107" s="5">
        <f t="shared" si="25"/>
        <v>11.835000000000001</v>
      </c>
      <c r="L107" s="5">
        <f t="shared" si="26"/>
        <v>3.67</v>
      </c>
      <c r="M107" s="5">
        <f t="shared" si="27"/>
        <v>10.175000000000001</v>
      </c>
      <c r="N107" s="13">
        <v>547.84</v>
      </c>
      <c r="O107" s="17">
        <f t="shared" si="28"/>
        <v>5.9090296998580884E-6</v>
      </c>
      <c r="P107">
        <f t="shared" si="29"/>
        <v>1.3797359352087741E-3</v>
      </c>
      <c r="Q107" s="11">
        <f t="shared" si="30"/>
        <v>528.23502736200737</v>
      </c>
      <c r="R107" s="15">
        <f t="shared" si="31"/>
        <v>19.60497263799266</v>
      </c>
      <c r="S107" s="16">
        <f t="shared" si="32"/>
        <v>3.7114109482476731</v>
      </c>
      <c r="V107" s="14">
        <v>0.1</v>
      </c>
      <c r="W107" s="9">
        <v>0.89</v>
      </c>
      <c r="X107" s="6">
        <v>1400</v>
      </c>
      <c r="AC107" s="5">
        <v>24.884812748213566</v>
      </c>
      <c r="AE107">
        <v>3</v>
      </c>
      <c r="AJ107" s="13">
        <v>883</v>
      </c>
      <c r="AK107" s="13">
        <v>883</v>
      </c>
      <c r="AL107" s="10">
        <v>-2.7158045502120864E-2</v>
      </c>
      <c r="AM107" s="1">
        <v>18.399999618530273</v>
      </c>
      <c r="AN107" s="2">
        <v>53</v>
      </c>
      <c r="AO107" s="3">
        <v>6.9499998092651367</v>
      </c>
      <c r="AP107" s="3">
        <v>6.9499998092651367</v>
      </c>
      <c r="AR107" s="1">
        <v>-11.135000000000002</v>
      </c>
      <c r="AS107" s="1">
        <v>-3.3499999999999996</v>
      </c>
      <c r="AT107" s="1">
        <v>-9.4600000000000009</v>
      </c>
      <c r="AU107">
        <v>4</v>
      </c>
      <c r="AV107" s="7">
        <v>0.68987370920397417</v>
      </c>
      <c r="AW107" s="3">
        <v>6.9499998092651367</v>
      </c>
      <c r="AX107" s="7">
        <v>0.35443129509008903</v>
      </c>
      <c r="AZ107" s="10">
        <v>0.31012629079602611</v>
      </c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>
        <v>0.31</v>
      </c>
      <c r="CE107" s="10">
        <v>4.0738966460034603E-4</v>
      </c>
      <c r="CF107" s="10">
        <v>0.3085</v>
      </c>
      <c r="CG107">
        <v>410</v>
      </c>
      <c r="CH107" s="13">
        <v>883</v>
      </c>
      <c r="CI107" s="13">
        <v>883</v>
      </c>
      <c r="CJ107">
        <v>0</v>
      </c>
      <c r="CK107">
        <v>227</v>
      </c>
      <c r="CL107">
        <v>1.8999999761581421</v>
      </c>
      <c r="CM107" s="1">
        <v>18.399999618530273</v>
      </c>
      <c r="CR107">
        <v>4191.9287109375</v>
      </c>
      <c r="CS107">
        <v>1.0960121699099545E-6</v>
      </c>
      <c r="CT107">
        <v>0.61180311441421509</v>
      </c>
    </row>
    <row r="108" spans="1:98" x14ac:dyDescent="0.3">
      <c r="A108" s="4">
        <v>3.99</v>
      </c>
      <c r="B108" s="6">
        <v>1360</v>
      </c>
      <c r="C108" s="5">
        <v>18.89</v>
      </c>
      <c r="D108">
        <v>2</v>
      </c>
      <c r="E108">
        <v>2</v>
      </c>
      <c r="F108">
        <v>571</v>
      </c>
      <c r="G108" s="12">
        <v>296.10000000000002</v>
      </c>
      <c r="H108" s="5">
        <v>8.07</v>
      </c>
      <c r="I108" s="5">
        <v>14.14</v>
      </c>
      <c r="J108" s="5">
        <v>20</v>
      </c>
      <c r="K108" s="5">
        <f t="shared" si="25"/>
        <v>11.105</v>
      </c>
      <c r="L108" s="5">
        <f t="shared" si="26"/>
        <v>6.07</v>
      </c>
      <c r="M108" s="5">
        <f t="shared" si="27"/>
        <v>8.8949999999999996</v>
      </c>
      <c r="N108" s="13">
        <v>452.68</v>
      </c>
      <c r="O108" s="17">
        <f t="shared" si="28"/>
        <v>7.0677694579269928E-6</v>
      </c>
      <c r="P108">
        <f t="shared" si="29"/>
        <v>1.3797993540950884E-3</v>
      </c>
      <c r="Q108" s="11">
        <f t="shared" si="30"/>
        <v>435.07440696556017</v>
      </c>
      <c r="R108" s="15">
        <f t="shared" si="31"/>
        <v>17.605593034439835</v>
      </c>
      <c r="S108" s="16">
        <f t="shared" si="32"/>
        <v>4.0465705986317602</v>
      </c>
      <c r="V108" s="14">
        <v>0.1</v>
      </c>
      <c r="W108" s="9">
        <v>0.89</v>
      </c>
      <c r="X108" s="6">
        <v>1400</v>
      </c>
      <c r="AC108" s="5">
        <v>26.358045104071067</v>
      </c>
      <c r="AE108">
        <v>3</v>
      </c>
      <c r="AG108" s="13"/>
      <c r="AH108" s="13"/>
      <c r="AI108" s="10"/>
      <c r="AJ108" s="13">
        <v>663</v>
      </c>
      <c r="AK108" s="13">
        <v>663</v>
      </c>
      <c r="AL108" s="10">
        <v>1.7072839077159063E-3</v>
      </c>
      <c r="AM108" s="1">
        <v>21.5</v>
      </c>
      <c r="AN108" s="2">
        <v>45</v>
      </c>
      <c r="AO108" s="3">
        <v>7.0799999237060547</v>
      </c>
      <c r="AP108" s="3">
        <v>7.0799999237060547</v>
      </c>
      <c r="AR108" s="1">
        <v>-7.9199999999999982</v>
      </c>
      <c r="AS108" s="1">
        <v>-2.4400000000000013</v>
      </c>
      <c r="AT108" s="1">
        <v>-6.6999999999999975</v>
      </c>
      <c r="AU108">
        <v>3</v>
      </c>
      <c r="AV108" s="7">
        <v>0.7327368181102667</v>
      </c>
      <c r="AW108" s="3">
        <v>7.0799999237060547</v>
      </c>
      <c r="AX108" s="7">
        <v>0.33076510951718624</v>
      </c>
      <c r="AZ108" s="10">
        <v>0.26726318188973347</v>
      </c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>
        <v>0.28000000000000003</v>
      </c>
      <c r="CE108" s="10">
        <v>4.5488636108094845E-2</v>
      </c>
      <c r="CF108" s="10">
        <v>0.26619999999999999</v>
      </c>
      <c r="CG108">
        <v>410</v>
      </c>
      <c r="CH108" s="13">
        <v>663</v>
      </c>
      <c r="CI108" s="13">
        <v>663</v>
      </c>
      <c r="CJ108">
        <v>0</v>
      </c>
      <c r="CK108">
        <v>234</v>
      </c>
      <c r="CL108">
        <v>2</v>
      </c>
      <c r="CM108" s="1">
        <v>21.5</v>
      </c>
      <c r="CR108">
        <v>4192.56005859375</v>
      </c>
      <c r="CS108">
        <v>9.9977989975741366E-7</v>
      </c>
      <c r="CT108">
        <v>0.61696821451187134</v>
      </c>
    </row>
    <row r="109" spans="1:98" x14ac:dyDescent="0.3">
      <c r="A109" s="4">
        <v>4.99</v>
      </c>
      <c r="B109" s="6">
        <v>1360</v>
      </c>
      <c r="C109" s="5">
        <v>22.68</v>
      </c>
      <c r="D109">
        <v>2</v>
      </c>
      <c r="E109">
        <v>2</v>
      </c>
      <c r="F109">
        <v>656</v>
      </c>
      <c r="G109" s="12">
        <v>355.6</v>
      </c>
      <c r="H109" s="5">
        <v>10</v>
      </c>
      <c r="I109" s="5">
        <v>15.11</v>
      </c>
      <c r="J109" s="5">
        <v>23.99</v>
      </c>
      <c r="K109" s="5">
        <f t="shared" si="25"/>
        <v>12.555</v>
      </c>
      <c r="L109" s="5">
        <f t="shared" si="26"/>
        <v>5.1099999999999994</v>
      </c>
      <c r="M109" s="5">
        <f t="shared" si="27"/>
        <v>11.434999999999999</v>
      </c>
      <c r="N109" s="13">
        <v>697.19</v>
      </c>
      <c r="O109" s="17">
        <f t="shared" si="28"/>
        <v>6.3910045960045804E-6</v>
      </c>
      <c r="P109">
        <f t="shared" si="29"/>
        <v>1.379497256328683E-3</v>
      </c>
      <c r="Q109" s="11">
        <f t="shared" si="30"/>
        <v>700.15926391642756</v>
      </c>
      <c r="R109" s="15">
        <f t="shared" si="31"/>
        <v>2.9692639164275079</v>
      </c>
      <c r="S109" s="16">
        <f t="shared" si="32"/>
        <v>0.42408407193222919</v>
      </c>
      <c r="V109" s="14">
        <v>0.15</v>
      </c>
      <c r="W109" s="9">
        <v>0.89</v>
      </c>
      <c r="X109" s="6">
        <v>1400</v>
      </c>
      <c r="AC109" s="5">
        <v>20.411586465878443</v>
      </c>
      <c r="AE109">
        <v>3</v>
      </c>
      <c r="AG109" s="13"/>
      <c r="AH109" s="13"/>
      <c r="AI109" s="10"/>
      <c r="AJ109" s="13">
        <v>1431</v>
      </c>
      <c r="AK109" s="13">
        <v>1431</v>
      </c>
      <c r="AL109" s="10">
        <v>3.3384605385731847E-2</v>
      </c>
      <c r="AM109" s="1">
        <v>12.399999618530273</v>
      </c>
      <c r="AN109" s="2">
        <v>62</v>
      </c>
      <c r="AO109" s="3">
        <v>5.559999942779541</v>
      </c>
      <c r="AP109" s="3">
        <v>5.559999942779541</v>
      </c>
      <c r="AR109" s="1">
        <v>-14.93</v>
      </c>
      <c r="AS109" s="1">
        <v>-6.2799999999999994</v>
      </c>
      <c r="AT109" s="1">
        <v>-11.79</v>
      </c>
      <c r="AU109">
        <v>4</v>
      </c>
      <c r="AV109" s="7">
        <v>0.68710005019213571</v>
      </c>
      <c r="AW109" s="3">
        <v>5.559999942779541</v>
      </c>
      <c r="AX109" s="7">
        <v>0.37283340278795341</v>
      </c>
      <c r="AZ109" s="10">
        <v>0.3128999498078644</v>
      </c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>
        <v>0.33</v>
      </c>
      <c r="CE109" s="10">
        <v>5.1818333915562481E-2</v>
      </c>
      <c r="CF109" s="10">
        <v>0.30669999999999997</v>
      </c>
      <c r="CG109">
        <v>535</v>
      </c>
      <c r="CH109" s="13">
        <v>1431</v>
      </c>
      <c r="CI109" s="13">
        <v>1431</v>
      </c>
      <c r="CJ109">
        <v>0</v>
      </c>
      <c r="CK109">
        <v>196</v>
      </c>
      <c r="CL109">
        <v>1.5</v>
      </c>
      <c r="CM109" s="1">
        <v>12.399999618530273</v>
      </c>
      <c r="CR109">
        <v>4190.095703125</v>
      </c>
      <c r="CS109">
        <v>1.3509312566384324E-6</v>
      </c>
      <c r="CT109">
        <v>0.60011577606201172</v>
      </c>
    </row>
    <row r="110" spans="1:98" x14ac:dyDescent="0.3">
      <c r="A110" s="4">
        <v>4.99</v>
      </c>
      <c r="B110" s="6">
        <v>1360</v>
      </c>
      <c r="C110" s="5">
        <v>19.13</v>
      </c>
      <c r="D110">
        <v>2</v>
      </c>
      <c r="E110">
        <v>2</v>
      </c>
      <c r="F110">
        <v>656</v>
      </c>
      <c r="G110" s="12">
        <v>354.5</v>
      </c>
      <c r="H110" s="5">
        <v>8.08</v>
      </c>
      <c r="I110" s="5">
        <v>14.25</v>
      </c>
      <c r="J110" s="5">
        <v>20</v>
      </c>
      <c r="K110" s="5">
        <f t="shared" si="25"/>
        <v>11.164999999999999</v>
      </c>
      <c r="L110" s="5">
        <f t="shared" si="26"/>
        <v>6.17</v>
      </c>
      <c r="M110" s="5">
        <f t="shared" si="27"/>
        <v>8.8350000000000009</v>
      </c>
      <c r="N110" s="13">
        <v>545</v>
      </c>
      <c r="O110" s="17">
        <f t="shared" si="28"/>
        <v>7.0393802788133894E-6</v>
      </c>
      <c r="P110">
        <f t="shared" si="29"/>
        <v>1.3797354092619585E-3</v>
      </c>
      <c r="Q110" s="11">
        <f t="shared" si="30"/>
        <v>528.66913378774234</v>
      </c>
      <c r="R110" s="15">
        <f t="shared" si="31"/>
        <v>16.330866212257661</v>
      </c>
      <c r="S110" s="16">
        <f t="shared" si="32"/>
        <v>3.08905233321497</v>
      </c>
      <c r="V110" s="14">
        <v>0.01</v>
      </c>
      <c r="W110" s="9">
        <v>0.9</v>
      </c>
      <c r="X110" s="6">
        <v>1400</v>
      </c>
      <c r="AC110" s="5">
        <v>26.833002464858502</v>
      </c>
      <c r="AE110">
        <v>3</v>
      </c>
      <c r="AG110" s="13"/>
      <c r="AH110" s="13"/>
      <c r="AI110" s="10"/>
      <c r="AJ110" s="13">
        <v>1375</v>
      </c>
      <c r="AK110" s="13">
        <v>1375</v>
      </c>
      <c r="AL110" s="10">
        <v>-6.2515809633939545E-3</v>
      </c>
      <c r="AM110" s="1">
        <v>20.100000381469727</v>
      </c>
      <c r="AN110" s="2">
        <v>49</v>
      </c>
      <c r="AO110" s="3">
        <v>7.0999999046325684</v>
      </c>
      <c r="AP110" s="3">
        <v>7.0999999046325684</v>
      </c>
      <c r="AR110" s="1">
        <v>-10.159999999999997</v>
      </c>
      <c r="AS110" s="1">
        <v>-2.0199999999999996</v>
      </c>
      <c r="AT110" s="1">
        <v>-9.1499999999999968</v>
      </c>
      <c r="AU110">
        <v>3</v>
      </c>
      <c r="AV110" s="7">
        <v>0.83329237639413256</v>
      </c>
      <c r="AW110" s="3">
        <v>7.0999999046325684</v>
      </c>
      <c r="AX110" s="7">
        <v>0.32253669838030141</v>
      </c>
      <c r="AZ110" s="10">
        <v>0.16670762360586733</v>
      </c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"/>
      <c r="CD110" s="10">
        <v>0.18</v>
      </c>
      <c r="CE110" s="10">
        <v>7.384653552295925E-2</v>
      </c>
      <c r="CF110" s="10">
        <v>0.18459999999999999</v>
      </c>
      <c r="CG110">
        <v>620</v>
      </c>
      <c r="CH110" s="13">
        <v>1375</v>
      </c>
      <c r="CI110" s="13">
        <v>1375</v>
      </c>
      <c r="CJ110">
        <v>0</v>
      </c>
      <c r="CK110">
        <v>585</v>
      </c>
      <c r="CL110">
        <v>10.5</v>
      </c>
      <c r="CM110" s="1">
        <v>20.100000381469727</v>
      </c>
      <c r="CR110">
        <v>4192.185546875</v>
      </c>
      <c r="CS110">
        <v>1.0576194426903385E-6</v>
      </c>
      <c r="CT110">
        <v>0.61380100250244141</v>
      </c>
    </row>
    <row r="111" spans="1:98" x14ac:dyDescent="0.3">
      <c r="A111" s="4">
        <v>4.99</v>
      </c>
      <c r="B111" s="6">
        <v>1360</v>
      </c>
      <c r="C111" s="5">
        <v>26.15</v>
      </c>
      <c r="D111">
        <v>2</v>
      </c>
      <c r="E111">
        <v>2</v>
      </c>
      <c r="F111">
        <v>656</v>
      </c>
      <c r="G111" s="12">
        <v>357</v>
      </c>
      <c r="H111" s="5">
        <v>8.1199999999999992</v>
      </c>
      <c r="I111" s="5">
        <v>18.14</v>
      </c>
      <c r="J111" s="5">
        <v>28.04</v>
      </c>
      <c r="K111" s="5">
        <f t="shared" si="25"/>
        <v>13.129999999999999</v>
      </c>
      <c r="L111" s="5">
        <f t="shared" si="26"/>
        <v>10.020000000000001</v>
      </c>
      <c r="M111" s="5">
        <f t="shared" si="27"/>
        <v>14.91</v>
      </c>
      <c r="N111" s="13">
        <v>828.28</v>
      </c>
      <c r="O111" s="17">
        <f t="shared" si="28"/>
        <v>8.1603928505670182E-6</v>
      </c>
      <c r="P111">
        <f t="shared" si="29"/>
        <v>1.3798017532758104E-3</v>
      </c>
      <c r="Q111" s="11">
        <f t="shared" si="30"/>
        <v>800.13624984445892</v>
      </c>
      <c r="R111" s="15">
        <f t="shared" si="31"/>
        <v>28.143750155541056</v>
      </c>
      <c r="S111" s="16">
        <f t="shared" si="32"/>
        <v>3.517369718096397</v>
      </c>
      <c r="V111" s="14">
        <v>0.01</v>
      </c>
      <c r="W111" s="9">
        <v>0.9</v>
      </c>
      <c r="X111" s="6">
        <v>1400</v>
      </c>
      <c r="AC111" s="5">
        <v>25.940931583813384</v>
      </c>
      <c r="AE111">
        <v>3</v>
      </c>
      <c r="AG111" s="13"/>
      <c r="AH111" s="13"/>
      <c r="AI111" s="10"/>
      <c r="AJ111" s="13">
        <v>1566</v>
      </c>
      <c r="AK111" s="13">
        <v>1566</v>
      </c>
      <c r="AL111" s="10">
        <v>7.1387227474435377E-3</v>
      </c>
      <c r="AM111" s="1">
        <v>18.5</v>
      </c>
      <c r="AN111" s="2">
        <v>52</v>
      </c>
      <c r="AO111" s="3">
        <v>6.8600001335144043</v>
      </c>
      <c r="AP111" s="3">
        <v>6.8600001335144043</v>
      </c>
      <c r="AR111" s="1">
        <v>-11.425000000000001</v>
      </c>
      <c r="AS111" s="1">
        <v>-2.2699999999999996</v>
      </c>
      <c r="AT111" s="1">
        <v>-10.290000000000001</v>
      </c>
      <c r="AU111">
        <v>3</v>
      </c>
      <c r="AV111" s="7">
        <v>0.82129487680059443</v>
      </c>
      <c r="AW111" s="3">
        <v>6.8600001335144043</v>
      </c>
      <c r="AX111" s="7">
        <v>0.32860208331927493</v>
      </c>
      <c r="AZ111" s="10">
        <v>0.17870512319940568</v>
      </c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>
        <v>0.2</v>
      </c>
      <c r="CE111" s="10">
        <v>0.10647438400297166</v>
      </c>
      <c r="CF111" s="10">
        <v>0.2268</v>
      </c>
      <c r="CG111">
        <v>640</v>
      </c>
      <c r="CH111" s="13">
        <v>1566</v>
      </c>
      <c r="CI111" s="13">
        <v>1566</v>
      </c>
      <c r="CJ111">
        <v>0</v>
      </c>
      <c r="CK111">
        <v>593</v>
      </c>
      <c r="CL111">
        <v>10.899999618530273</v>
      </c>
      <c r="CM111" s="1">
        <v>18.5</v>
      </c>
      <c r="CR111">
        <v>4191.82275390625</v>
      </c>
      <c r="CS111">
        <v>1.1115981806142372E-6</v>
      </c>
      <c r="CT111">
        <v>0.61101347208023071</v>
      </c>
    </row>
    <row r="112" spans="1:98" x14ac:dyDescent="0.3">
      <c r="A112" s="4">
        <v>6</v>
      </c>
      <c r="B112" s="6">
        <v>1360</v>
      </c>
      <c r="C112" s="5">
        <v>26.64</v>
      </c>
      <c r="D112">
        <v>2</v>
      </c>
      <c r="E112">
        <v>2</v>
      </c>
      <c r="F112">
        <v>736</v>
      </c>
      <c r="G112" s="12">
        <v>409.6</v>
      </c>
      <c r="H112" s="5">
        <v>17</v>
      </c>
      <c r="I112" s="5">
        <v>19.88</v>
      </c>
      <c r="J112" s="5">
        <v>27.43</v>
      </c>
      <c r="K112" s="5">
        <f t="shared" si="25"/>
        <v>18.439999999999998</v>
      </c>
      <c r="L112" s="5">
        <f t="shared" si="26"/>
        <v>2.879999999999999</v>
      </c>
      <c r="M112" s="5">
        <f t="shared" si="27"/>
        <v>8.990000000000002</v>
      </c>
      <c r="N112" s="13">
        <v>779.08</v>
      </c>
      <c r="O112" s="17">
        <f t="shared" si="28"/>
        <v>5.4202298610110191E-6</v>
      </c>
      <c r="P112">
        <f t="shared" si="29"/>
        <v>1.3797751196016807E-3</v>
      </c>
      <c r="Q112" s="11">
        <f t="shared" si="30"/>
        <v>743.05344612272847</v>
      </c>
      <c r="R112" s="15">
        <f t="shared" si="31"/>
        <v>36.026553877271567</v>
      </c>
      <c r="S112" s="16">
        <f t="shared" si="32"/>
        <v>4.8484471830739784</v>
      </c>
      <c r="V112" s="14">
        <v>0.01</v>
      </c>
      <c r="W112" s="9">
        <v>0.9</v>
      </c>
      <c r="X112" s="6">
        <v>1400</v>
      </c>
      <c r="AC112" s="5">
        <v>27.187063688032836</v>
      </c>
      <c r="AE112">
        <v>3</v>
      </c>
      <c r="AG112" s="13"/>
      <c r="AH112" s="13"/>
      <c r="AI112" s="10"/>
      <c r="AJ112" s="13">
        <v>1159</v>
      </c>
      <c r="AK112" s="13">
        <v>1159</v>
      </c>
      <c r="AL112" s="10">
        <v>-4.5996312392993621E-2</v>
      </c>
      <c r="AM112" s="1">
        <v>21.600000381469727</v>
      </c>
      <c r="AN112" s="2">
        <v>44</v>
      </c>
      <c r="AO112" s="3">
        <v>7.0300002098083496</v>
      </c>
      <c r="AP112" s="3">
        <v>7.0300002098083496</v>
      </c>
      <c r="AR112" s="1">
        <v>-8.0599999999999987</v>
      </c>
      <c r="AS112" s="1">
        <v>-1.7800000000000011</v>
      </c>
      <c r="AT112" s="1">
        <v>-7.1699999999999982</v>
      </c>
      <c r="AU112">
        <v>3</v>
      </c>
      <c r="AV112" s="7">
        <v>0.87985254207877461</v>
      </c>
      <c r="AW112" s="3">
        <v>7.0300002098083496</v>
      </c>
      <c r="AX112" s="7">
        <v>0.31281962216019843</v>
      </c>
      <c r="AZ112" s="10">
        <v>0.12014745792122539</v>
      </c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>
        <v>0.09</v>
      </c>
      <c r="CE112" s="10">
        <v>0.33497175468028212</v>
      </c>
      <c r="CF112" s="10">
        <v>9.0300000000000005E-2</v>
      </c>
      <c r="CG112">
        <v>635</v>
      </c>
      <c r="CH112" s="13">
        <v>1159</v>
      </c>
      <c r="CI112" s="13">
        <v>1159</v>
      </c>
      <c r="CJ112">
        <v>0</v>
      </c>
      <c r="CK112">
        <v>560</v>
      </c>
      <c r="CL112">
        <v>9.6000003814697266</v>
      </c>
      <c r="CM112" s="1">
        <v>21.600000381469727</v>
      </c>
      <c r="CR112">
        <v>4192.50830078125</v>
      </c>
      <c r="CS112">
        <v>1.007919195217255E-6</v>
      </c>
      <c r="CT112">
        <v>0.61651009321212769</v>
      </c>
    </row>
    <row r="113" spans="1:98" x14ac:dyDescent="0.3">
      <c r="A113" s="4">
        <v>6</v>
      </c>
      <c r="B113" s="6">
        <v>1360</v>
      </c>
      <c r="C113" s="5">
        <v>26.53</v>
      </c>
      <c r="D113">
        <v>2</v>
      </c>
      <c r="E113">
        <v>2</v>
      </c>
      <c r="F113">
        <v>737</v>
      </c>
      <c r="G113" s="12">
        <v>411.3</v>
      </c>
      <c r="H113" s="5">
        <v>14.99</v>
      </c>
      <c r="I113" s="5">
        <v>18.34</v>
      </c>
      <c r="J113" s="5">
        <v>27.8</v>
      </c>
      <c r="K113" s="5">
        <f t="shared" si="25"/>
        <v>16.664999999999999</v>
      </c>
      <c r="L113" s="5">
        <f t="shared" si="26"/>
        <v>3.3499999999999996</v>
      </c>
      <c r="M113" s="5">
        <f t="shared" si="27"/>
        <v>11.135000000000002</v>
      </c>
      <c r="N113" s="13">
        <v>907.65</v>
      </c>
      <c r="O113" s="17">
        <f t="shared" si="28"/>
        <v>5.6479796308965039E-6</v>
      </c>
      <c r="P113">
        <f t="shared" si="29"/>
        <v>1.3796735759543498E-3</v>
      </c>
      <c r="Q113" s="11">
        <f t="shared" si="30"/>
        <v>883.68895586995927</v>
      </c>
      <c r="R113" s="15">
        <f t="shared" si="31"/>
        <v>23.961044130040705</v>
      </c>
      <c r="S113" s="16">
        <f t="shared" si="32"/>
        <v>2.7114794148866528</v>
      </c>
      <c r="V113" s="14">
        <v>0.1</v>
      </c>
      <c r="W113" s="9">
        <v>0.9</v>
      </c>
      <c r="X113" s="6">
        <v>1400</v>
      </c>
      <c r="AC113" s="5">
        <v>26.263008084239068</v>
      </c>
      <c r="AE113">
        <v>3</v>
      </c>
      <c r="AG113" s="13"/>
      <c r="AH113" s="13"/>
      <c r="AI113" s="10"/>
      <c r="AJ113" s="13">
        <v>1131</v>
      </c>
      <c r="AK113" s="13">
        <v>1131</v>
      </c>
      <c r="AL113" s="10">
        <v>7.2224349669156584E-3</v>
      </c>
      <c r="AM113" s="1">
        <v>19.799999237060547</v>
      </c>
      <c r="AN113" s="2">
        <v>49</v>
      </c>
      <c r="AO113" s="3">
        <v>7.0399999618530273</v>
      </c>
      <c r="AP113" s="3">
        <v>7.0399999618530273</v>
      </c>
      <c r="AR113" s="1">
        <v>-9.9899999999999984</v>
      </c>
      <c r="AS113" s="1">
        <v>-2.0399999999999991</v>
      </c>
      <c r="AT113" s="1">
        <v>-8.9699999999999989</v>
      </c>
      <c r="AU113">
        <v>3</v>
      </c>
      <c r="AV113" s="7">
        <v>0.78625404468543691</v>
      </c>
      <c r="AW113" s="3">
        <v>7.0399999618530273</v>
      </c>
      <c r="AX113" s="7">
        <v>0.33076798809571073</v>
      </c>
      <c r="AZ113" s="10">
        <v>0.21374595531456336</v>
      </c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>
        <v>0.23</v>
      </c>
      <c r="CE113" s="10">
        <v>7.0669759501898466E-2</v>
      </c>
      <c r="CF113" s="10">
        <v>0.25209999999999999</v>
      </c>
      <c r="CG113">
        <v>530</v>
      </c>
      <c r="CH113" s="13">
        <v>1131</v>
      </c>
      <c r="CI113" s="13">
        <v>1131</v>
      </c>
      <c r="CJ113">
        <v>0</v>
      </c>
      <c r="CK113">
        <v>477</v>
      </c>
      <c r="CL113">
        <v>7.3000001907348633</v>
      </c>
      <c r="CM113" s="1">
        <v>19.799999237060547</v>
      </c>
      <c r="CR113">
        <v>4192.1875</v>
      </c>
      <c r="CS113">
        <v>1.0573437521088636E-6</v>
      </c>
      <c r="CT113">
        <v>0.61381560564041138</v>
      </c>
    </row>
    <row r="114" spans="1:98" x14ac:dyDescent="0.3">
      <c r="A114" s="4">
        <v>6</v>
      </c>
      <c r="B114" s="6">
        <v>1360</v>
      </c>
      <c r="C114" s="5">
        <v>27.33</v>
      </c>
      <c r="D114">
        <v>2</v>
      </c>
      <c r="E114">
        <v>2</v>
      </c>
      <c r="F114">
        <v>739</v>
      </c>
      <c r="G114" s="12">
        <v>411.1</v>
      </c>
      <c r="H114" s="5">
        <v>18.989999999999998</v>
      </c>
      <c r="I114" s="5">
        <v>21.43</v>
      </c>
      <c r="J114" s="5">
        <v>28.13</v>
      </c>
      <c r="K114" s="5">
        <f t="shared" si="25"/>
        <v>20.21</v>
      </c>
      <c r="L114" s="5">
        <f t="shared" si="26"/>
        <v>2.4400000000000013</v>
      </c>
      <c r="M114" s="5">
        <f t="shared" si="27"/>
        <v>7.9199999999999982</v>
      </c>
      <c r="N114" s="13">
        <v>661.87</v>
      </c>
      <c r="O114" s="17">
        <f t="shared" si="28"/>
        <v>4.6887386572629254E-6</v>
      </c>
      <c r="P114">
        <f t="shared" si="29"/>
        <v>1.3794048640677586E-3</v>
      </c>
      <c r="Q114" s="11">
        <f t="shared" si="30"/>
        <v>678.75447313887378</v>
      </c>
      <c r="R114" s="15">
        <f t="shared" si="31"/>
        <v>16.884473138873773</v>
      </c>
      <c r="S114" s="16">
        <f t="shared" si="32"/>
        <v>2.4875671258256626</v>
      </c>
      <c r="V114" s="14">
        <v>0.1</v>
      </c>
      <c r="W114" s="9">
        <v>0.9</v>
      </c>
      <c r="X114" s="6">
        <v>1400</v>
      </c>
      <c r="AC114" s="5">
        <v>25.59263324617147</v>
      </c>
      <c r="AE114">
        <v>3</v>
      </c>
      <c r="AG114" s="13"/>
      <c r="AH114" s="13"/>
      <c r="AI114" s="10"/>
      <c r="AJ114" s="13">
        <v>1295</v>
      </c>
      <c r="AK114" s="13">
        <v>1295</v>
      </c>
      <c r="AL114" s="10">
        <v>3.4636932113163432E-3</v>
      </c>
      <c r="AM114" s="1">
        <v>18.200000762939453</v>
      </c>
      <c r="AN114" s="2">
        <v>54</v>
      </c>
      <c r="AO114" s="3">
        <v>6.9899997711181641</v>
      </c>
      <c r="AP114" s="3">
        <v>6.9899997711181641</v>
      </c>
      <c r="AR114" s="1">
        <v>-11.724999999999998</v>
      </c>
      <c r="AS114" s="1">
        <v>-2.3500000000000014</v>
      </c>
      <c r="AT114" s="1">
        <v>-10.549999999999997</v>
      </c>
      <c r="AU114">
        <v>3</v>
      </c>
      <c r="AV114" s="7">
        <v>0.76212712007101713</v>
      </c>
      <c r="AW114" s="3">
        <v>6.9899997711181641</v>
      </c>
      <c r="AX114" s="7">
        <v>0.34174384315966444</v>
      </c>
      <c r="AZ114" s="10">
        <v>0.23787287992898259</v>
      </c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  <c r="BW114" s="10"/>
      <c r="BX114" s="10"/>
      <c r="BY114" s="10"/>
      <c r="BZ114" s="10"/>
      <c r="CA114" s="10"/>
      <c r="CB114" s="10"/>
      <c r="CC114" s="10"/>
      <c r="CD114" s="10">
        <v>0.25</v>
      </c>
      <c r="CE114" s="10">
        <v>4.8508480284069622E-2</v>
      </c>
      <c r="CF114" s="10">
        <v>0.2676</v>
      </c>
      <c r="CG114">
        <v>530</v>
      </c>
      <c r="CH114" s="13">
        <v>1295</v>
      </c>
      <c r="CI114" s="13">
        <v>1295</v>
      </c>
      <c r="CJ114">
        <v>0</v>
      </c>
      <c r="CK114">
        <v>474</v>
      </c>
      <c r="CL114">
        <v>7.3000001907348633</v>
      </c>
      <c r="CM114" s="1">
        <v>18.200000762939453</v>
      </c>
      <c r="CR114">
        <v>4191.8310546875</v>
      </c>
      <c r="CS114">
        <v>1.1104104942205595E-6</v>
      </c>
      <c r="CT114">
        <v>0.61107325553894043</v>
      </c>
    </row>
    <row r="115" spans="1:98" x14ac:dyDescent="0.3">
      <c r="A115" s="4">
        <v>6</v>
      </c>
      <c r="B115" s="6">
        <v>1360</v>
      </c>
      <c r="C115" s="5">
        <v>25.76</v>
      </c>
      <c r="D115">
        <v>2</v>
      </c>
      <c r="E115">
        <v>2</v>
      </c>
      <c r="F115">
        <v>742</v>
      </c>
      <c r="G115" s="12">
        <v>416.7</v>
      </c>
      <c r="H115" s="5">
        <v>10.06</v>
      </c>
      <c r="I115" s="5">
        <v>14.8</v>
      </c>
      <c r="J115" s="5">
        <v>27.62</v>
      </c>
      <c r="K115" s="5">
        <f t="shared" si="25"/>
        <v>12.43</v>
      </c>
      <c r="L115" s="5">
        <f t="shared" si="26"/>
        <v>4.74</v>
      </c>
      <c r="M115" s="5">
        <f t="shared" si="27"/>
        <v>15.190000000000001</v>
      </c>
      <c r="N115" s="13">
        <v>1095.42</v>
      </c>
      <c r="O115" s="17">
        <f t="shared" si="28"/>
        <v>6.2462903480721782E-6</v>
      </c>
      <c r="P115">
        <f t="shared" si="29"/>
        <v>1.3795161484943161E-3</v>
      </c>
      <c r="Q115" s="11">
        <f t="shared" si="30"/>
        <v>1096.8802285090992</v>
      </c>
      <c r="R115" s="15">
        <f t="shared" si="31"/>
        <v>1.4602285090991245</v>
      </c>
      <c r="S115" s="16">
        <f t="shared" si="32"/>
        <v>0.13312561126969102</v>
      </c>
      <c r="V115" s="14">
        <v>0.1</v>
      </c>
      <c r="W115" s="9">
        <v>0.9</v>
      </c>
      <c r="X115" s="6">
        <v>1400</v>
      </c>
      <c r="AC115" s="5">
        <v>26.7887357666018</v>
      </c>
      <c r="AE115">
        <v>3</v>
      </c>
      <c r="AG115" s="13"/>
      <c r="AH115" s="13"/>
      <c r="AI115" s="10"/>
      <c r="AJ115" s="13">
        <v>953</v>
      </c>
      <c r="AK115" s="13">
        <v>953</v>
      </c>
      <c r="AL115" s="10">
        <v>2.4433766540896684E-2</v>
      </c>
      <c r="AM115" s="1">
        <v>21.299999237060547</v>
      </c>
      <c r="AN115" s="2">
        <v>45</v>
      </c>
      <c r="AO115" s="3">
        <v>7.0399999618530273</v>
      </c>
      <c r="AP115" s="3">
        <v>7.0399999618530273</v>
      </c>
      <c r="AR115" s="1">
        <v>-8.1649999999999991</v>
      </c>
      <c r="AS115" s="1">
        <v>-1.6899999999999977</v>
      </c>
      <c r="AT115" s="1">
        <v>-7.32</v>
      </c>
      <c r="AU115">
        <v>3</v>
      </c>
      <c r="AV115" s="7">
        <v>0.81677617654620294</v>
      </c>
      <c r="AW115" s="3">
        <v>7.0399999618530273</v>
      </c>
      <c r="AX115" s="7">
        <v>0.32067537207379909</v>
      </c>
      <c r="AZ115" s="10">
        <v>0.18322382345379706</v>
      </c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>
        <v>0.19</v>
      </c>
      <c r="CE115" s="10">
        <v>3.5664087085278628E-2</v>
      </c>
      <c r="CF115" s="10">
        <v>0.17599999999999999</v>
      </c>
      <c r="CG115">
        <v>530</v>
      </c>
      <c r="CH115" s="13">
        <v>953</v>
      </c>
      <c r="CI115" s="13">
        <v>953</v>
      </c>
      <c r="CJ115">
        <v>0</v>
      </c>
      <c r="CK115">
        <v>485</v>
      </c>
      <c r="CL115">
        <v>7.4000000953674316</v>
      </c>
      <c r="CM115" s="1">
        <v>21.299999237060547</v>
      </c>
      <c r="CR115">
        <v>4192.50244140625</v>
      </c>
      <c r="CS115">
        <v>1.0088158433063654E-6</v>
      </c>
      <c r="CT115">
        <v>0.61645984649658203</v>
      </c>
    </row>
    <row r="116" spans="1:98" x14ac:dyDescent="0.3">
      <c r="A116" s="4">
        <v>6</v>
      </c>
      <c r="B116" s="6">
        <v>1360</v>
      </c>
      <c r="C116" s="5">
        <v>19.260000000000002</v>
      </c>
      <c r="D116">
        <v>2</v>
      </c>
      <c r="E116">
        <v>2</v>
      </c>
      <c r="F116">
        <v>742</v>
      </c>
      <c r="G116" s="12">
        <v>413.6</v>
      </c>
      <c r="H116" s="5">
        <v>8.07</v>
      </c>
      <c r="I116" s="5">
        <v>14.18</v>
      </c>
      <c r="J116" s="5">
        <v>20.010000000000002</v>
      </c>
      <c r="K116" s="5">
        <f t="shared" si="25"/>
        <v>11.125</v>
      </c>
      <c r="L116" s="5">
        <f t="shared" si="26"/>
        <v>6.1099999999999994</v>
      </c>
      <c r="M116" s="5">
        <f t="shared" si="27"/>
        <v>8.8850000000000016</v>
      </c>
      <c r="N116" s="13">
        <v>637</v>
      </c>
      <c r="O116" s="17">
        <f t="shared" si="28"/>
        <v>6.807907706935527E-6</v>
      </c>
      <c r="P116">
        <f t="shared" si="29"/>
        <v>1.3795252001780139E-3</v>
      </c>
      <c r="Q116" s="11">
        <f t="shared" si="30"/>
        <v>636.9321459683099</v>
      </c>
      <c r="R116" s="15">
        <f t="shared" si="31"/>
        <v>6.7854031690103511E-2</v>
      </c>
      <c r="S116" s="16">
        <f t="shared" si="32"/>
        <v>1.0653259082560318E-2</v>
      </c>
      <c r="V116" s="14">
        <v>0.1</v>
      </c>
      <c r="W116" s="9">
        <v>0.9</v>
      </c>
      <c r="X116" s="6">
        <v>1400</v>
      </c>
      <c r="AC116" s="5">
        <v>24.293729192059356</v>
      </c>
      <c r="AE116">
        <v>3</v>
      </c>
      <c r="AG116" s="13"/>
      <c r="AH116" s="13"/>
      <c r="AI116" s="10"/>
      <c r="AJ116" s="13">
        <v>434</v>
      </c>
      <c r="AK116" s="13">
        <v>434</v>
      </c>
      <c r="AL116" s="10">
        <v>0.11034359249878478</v>
      </c>
      <c r="AM116" s="1">
        <v>18.799999237060547</v>
      </c>
      <c r="AN116" s="2">
        <v>52</v>
      </c>
      <c r="AO116" s="3">
        <v>6.9800000190734863</v>
      </c>
      <c r="AP116" s="3">
        <v>6.9800000190734863</v>
      </c>
      <c r="AR116" s="1">
        <v>-9.865000000000002</v>
      </c>
      <c r="AS116" s="1">
        <v>-1.9899999999999984</v>
      </c>
      <c r="AT116" s="1">
        <v>-8.8700000000000028</v>
      </c>
      <c r="AU116">
        <v>3</v>
      </c>
      <c r="AV116" s="7">
        <v>0.60637190865052504</v>
      </c>
      <c r="AW116" s="3">
        <v>6.9800000190734863</v>
      </c>
      <c r="AX116" s="7">
        <v>0.36875330824285979</v>
      </c>
      <c r="AZ116" s="10">
        <v>0.39362809134947518</v>
      </c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>
        <v>0.45512839027576352</v>
      </c>
      <c r="CE116" s="10">
        <v>0.13512736238894071</v>
      </c>
      <c r="CF116" s="10">
        <v>0.4415</v>
      </c>
      <c r="CG116">
        <v>235</v>
      </c>
      <c r="CH116" s="13">
        <v>434</v>
      </c>
      <c r="CI116" s="13">
        <v>434</v>
      </c>
      <c r="CJ116">
        <v>0</v>
      </c>
      <c r="CK116">
        <v>187</v>
      </c>
      <c r="CL116">
        <v>1.3999999761581421</v>
      </c>
      <c r="CM116" s="1">
        <v>18.799999237060547</v>
      </c>
      <c r="CR116">
        <v>4192.18115234375</v>
      </c>
      <c r="CS116">
        <v>1.0583092944216332E-6</v>
      </c>
      <c r="CT116">
        <v>0.61376440525054932</v>
      </c>
    </row>
    <row r="117" spans="1:98" x14ac:dyDescent="0.3">
      <c r="A117" s="4">
        <v>6</v>
      </c>
      <c r="B117" s="6">
        <v>1360</v>
      </c>
      <c r="C117" s="5">
        <v>26.53</v>
      </c>
      <c r="D117">
        <v>2</v>
      </c>
      <c r="E117">
        <v>2</v>
      </c>
      <c r="F117">
        <v>742</v>
      </c>
      <c r="G117" s="12">
        <v>416.5</v>
      </c>
      <c r="H117" s="5">
        <v>8.1199999999999992</v>
      </c>
      <c r="I117" s="5">
        <v>18.25</v>
      </c>
      <c r="J117" s="5">
        <v>27.98</v>
      </c>
      <c r="K117" s="5">
        <f t="shared" si="25"/>
        <v>13.184999999999999</v>
      </c>
      <c r="L117" s="5">
        <f t="shared" si="26"/>
        <v>10.130000000000001</v>
      </c>
      <c r="M117" s="5">
        <f t="shared" si="27"/>
        <v>14.795000000000002</v>
      </c>
      <c r="N117" s="13">
        <v>988.85</v>
      </c>
      <c r="O117" s="17">
        <f t="shared" si="28"/>
        <v>8.2326975892121881E-6</v>
      </c>
      <c r="P117">
        <f t="shared" si="29"/>
        <v>1.3798503191911669E-3</v>
      </c>
      <c r="Q117" s="11">
        <f t="shared" si="30"/>
        <v>949.71203414831541</v>
      </c>
      <c r="R117" s="15">
        <f t="shared" si="31"/>
        <v>39.137965851684612</v>
      </c>
      <c r="S117" s="16">
        <f t="shared" si="32"/>
        <v>4.1210350553031461</v>
      </c>
      <c r="V117" s="14">
        <v>0.1</v>
      </c>
      <c r="W117" s="9">
        <v>0.9</v>
      </c>
      <c r="X117" s="6">
        <v>1400</v>
      </c>
      <c r="AC117" s="5">
        <v>23.552618022527565</v>
      </c>
      <c r="AE117">
        <v>3</v>
      </c>
      <c r="AG117" s="13"/>
      <c r="AH117" s="13"/>
      <c r="AI117" s="10"/>
      <c r="AJ117" s="13">
        <v>511</v>
      </c>
      <c r="AK117" s="13">
        <v>511</v>
      </c>
      <c r="AL117" s="10">
        <v>0.13000597067734021</v>
      </c>
      <c r="AM117" s="1">
        <v>17.100000381469727</v>
      </c>
      <c r="AN117" s="2">
        <v>58</v>
      </c>
      <c r="AO117" s="3">
        <v>7</v>
      </c>
      <c r="AP117" s="3">
        <v>7</v>
      </c>
      <c r="AR117" s="1">
        <v>-11.780000000000001</v>
      </c>
      <c r="AS117" s="1">
        <v>-2.2999999999999989</v>
      </c>
      <c r="AT117" s="1">
        <v>-10.630000000000003</v>
      </c>
      <c r="AU117">
        <v>3</v>
      </c>
      <c r="AV117" s="7">
        <v>0.59525995093463913</v>
      </c>
      <c r="AW117" s="3">
        <v>7</v>
      </c>
      <c r="AX117" s="7">
        <v>0.38664584627330556</v>
      </c>
      <c r="AZ117" s="10">
        <v>0.40474004906536071</v>
      </c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>
        <v>0.47703522089057981</v>
      </c>
      <c r="CE117" s="10">
        <v>0.15155101480819558</v>
      </c>
      <c r="CF117" s="10">
        <v>0.4662</v>
      </c>
      <c r="CG117">
        <v>235</v>
      </c>
      <c r="CH117" s="13">
        <v>511</v>
      </c>
      <c r="CI117" s="13">
        <v>511</v>
      </c>
      <c r="CJ117">
        <v>0</v>
      </c>
      <c r="CK117">
        <v>191</v>
      </c>
      <c r="CL117">
        <v>1.3999999761581421</v>
      </c>
      <c r="CM117" s="1">
        <v>17.100000381469727</v>
      </c>
      <c r="CR117">
        <v>4191.828125</v>
      </c>
      <c r="CS117">
        <v>1.1108555781902396E-6</v>
      </c>
      <c r="CT117">
        <v>0.61105084419250488</v>
      </c>
    </row>
    <row r="118" spans="1:98" x14ac:dyDescent="0.3">
      <c r="A118" s="4">
        <v>6.09</v>
      </c>
      <c r="B118" s="6">
        <v>1360</v>
      </c>
      <c r="C118" s="5">
        <v>22.33</v>
      </c>
      <c r="D118">
        <v>2</v>
      </c>
      <c r="E118">
        <v>2</v>
      </c>
      <c r="F118">
        <v>750</v>
      </c>
      <c r="G118" s="12">
        <v>422.1</v>
      </c>
      <c r="H118" s="5">
        <v>5.99</v>
      </c>
      <c r="I118" s="5">
        <v>12</v>
      </c>
      <c r="J118" s="5">
        <v>23.96</v>
      </c>
      <c r="K118" s="5">
        <f t="shared" si="25"/>
        <v>8.995000000000001</v>
      </c>
      <c r="L118" s="5">
        <f t="shared" si="26"/>
        <v>6.01</v>
      </c>
      <c r="M118" s="5">
        <f t="shared" si="27"/>
        <v>14.965</v>
      </c>
      <c r="N118" s="13">
        <v>1063.68</v>
      </c>
      <c r="O118" s="17">
        <f t="shared" si="28"/>
        <v>7.0960366322612591E-6</v>
      </c>
      <c r="P118">
        <f t="shared" si="29"/>
        <v>1.3798492373702598E-3</v>
      </c>
      <c r="Q118" s="11">
        <f t="shared" si="30"/>
        <v>1014.9988466696238</v>
      </c>
      <c r="R118" s="15">
        <f t="shared" si="31"/>
        <v>48.681153330376219</v>
      </c>
      <c r="S118" s="16">
        <f t="shared" si="32"/>
        <v>4.7961781917395196</v>
      </c>
      <c r="V118" s="14">
        <v>0.1</v>
      </c>
      <c r="W118" s="9">
        <v>0.9</v>
      </c>
      <c r="X118" s="6">
        <v>1400</v>
      </c>
      <c r="AC118" s="5">
        <v>25.184076291790788</v>
      </c>
      <c r="AE118">
        <v>3</v>
      </c>
      <c r="AG118" s="13"/>
      <c r="AH118" s="13"/>
      <c r="AI118" s="10"/>
      <c r="AJ118" s="13">
        <v>359</v>
      </c>
      <c r="AK118" s="13">
        <v>359</v>
      </c>
      <c r="AL118" s="10">
        <v>0.10601065960134326</v>
      </c>
      <c r="AM118" s="1">
        <v>20.600000381469727</v>
      </c>
      <c r="AN118" s="2">
        <v>47</v>
      </c>
      <c r="AO118" s="3">
        <v>7.0199999809265137</v>
      </c>
      <c r="AP118" s="3">
        <v>7.0199999809265137</v>
      </c>
      <c r="AR118" s="1">
        <v>-8.0499999999999972</v>
      </c>
      <c r="AS118" s="1">
        <v>-1.6600000000000001</v>
      </c>
      <c r="AT118" s="1">
        <v>-7.2199999999999971</v>
      </c>
      <c r="AU118">
        <v>3</v>
      </c>
      <c r="AV118" s="7">
        <v>0.61946974954459688</v>
      </c>
      <c r="AW118" s="3">
        <v>7.0199999809265137</v>
      </c>
      <c r="AX118" s="7">
        <v>0.35163214483922267</v>
      </c>
      <c r="AZ118" s="10">
        <v>0.38053025045540279</v>
      </c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/>
      <c r="CC118" s="10"/>
      <c r="CD118" s="10">
        <v>0.43</v>
      </c>
      <c r="CE118" s="10">
        <v>0.11504592917348189</v>
      </c>
      <c r="CF118" s="10">
        <v>0.40689999999999998</v>
      </c>
      <c r="CG118">
        <v>235</v>
      </c>
      <c r="CH118" s="13">
        <v>359</v>
      </c>
      <c r="CI118" s="13">
        <v>359</v>
      </c>
      <c r="CJ118">
        <v>0</v>
      </c>
      <c r="CK118">
        <v>186</v>
      </c>
      <c r="CL118">
        <v>1.2999999523162842</v>
      </c>
      <c r="CM118" s="1">
        <v>20.600000381469727</v>
      </c>
      <c r="CR118">
        <v>4192.51806640625</v>
      </c>
      <c r="CS118">
        <v>1.0063851050290396E-6</v>
      </c>
      <c r="CT118">
        <v>0.61659610271453857</v>
      </c>
    </row>
    <row r="119" spans="1:98" x14ac:dyDescent="0.3">
      <c r="A119" s="4">
        <v>7</v>
      </c>
      <c r="B119" s="6">
        <v>1360</v>
      </c>
      <c r="C119" s="5">
        <v>26.95</v>
      </c>
      <c r="D119">
        <v>2</v>
      </c>
      <c r="E119">
        <v>2</v>
      </c>
      <c r="F119">
        <v>808</v>
      </c>
      <c r="G119" s="12">
        <v>459.6</v>
      </c>
      <c r="H119" s="5">
        <v>17.010000000000002</v>
      </c>
      <c r="I119" s="5">
        <v>18.97</v>
      </c>
      <c r="J119" s="5">
        <v>28.03</v>
      </c>
      <c r="K119" s="5">
        <f t="shared" si="25"/>
        <v>17.990000000000002</v>
      </c>
      <c r="L119" s="5">
        <f t="shared" si="26"/>
        <v>1.9599999999999973</v>
      </c>
      <c r="M119" s="5">
        <f t="shared" si="27"/>
        <v>10.039999999999999</v>
      </c>
      <c r="N119" s="13">
        <v>975.71</v>
      </c>
      <c r="O119" s="17">
        <f t="shared" si="28"/>
        <v>4.4694031936230198E-6</v>
      </c>
      <c r="P119">
        <f t="shared" si="29"/>
        <v>1.379662958033799E-3</v>
      </c>
      <c r="Q119" s="11">
        <f t="shared" si="30"/>
        <v>945.47793463969026</v>
      </c>
      <c r="R119" s="15">
        <f t="shared" si="31"/>
        <v>30.232065360309775</v>
      </c>
      <c r="S119" s="16">
        <f t="shared" si="32"/>
        <v>3.197543195107011</v>
      </c>
      <c r="V119" s="14">
        <v>0.5</v>
      </c>
      <c r="W119" s="9">
        <v>0.89</v>
      </c>
      <c r="X119" s="6">
        <v>1400</v>
      </c>
      <c r="AC119" s="5">
        <v>20.423132590697598</v>
      </c>
      <c r="AE119">
        <v>3</v>
      </c>
      <c r="AG119" s="13"/>
      <c r="AH119" s="13"/>
      <c r="AI119" s="10"/>
      <c r="AJ119" s="13">
        <v>754</v>
      </c>
      <c r="AK119" s="13">
        <v>754</v>
      </c>
      <c r="AL119" s="10">
        <v>0.13766672702033911</v>
      </c>
      <c r="AM119" s="1">
        <v>11</v>
      </c>
      <c r="AN119" s="2">
        <v>86</v>
      </c>
      <c r="AO119" s="3">
        <v>7.0199999809265137</v>
      </c>
      <c r="AP119" s="3">
        <v>7.0199999809265137</v>
      </c>
      <c r="AR119" s="1">
        <v>-18.909999999999997</v>
      </c>
      <c r="AS119" s="1">
        <v>-5.94</v>
      </c>
      <c r="AT119" s="1">
        <v>-15.939999999999996</v>
      </c>
      <c r="AU119">
        <v>4</v>
      </c>
      <c r="AV119" s="7">
        <v>0.55462816896395517</v>
      </c>
      <c r="AW119" s="3">
        <v>7.0199999809265137</v>
      </c>
      <c r="AX119" s="7">
        <v>0.46930832957088597</v>
      </c>
      <c r="AZ119" s="10">
        <v>0.44537183103604455</v>
      </c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"/>
      <c r="CD119" s="10">
        <v>0.5098264313082308</v>
      </c>
      <c r="CE119" s="10">
        <v>0.12642459534079803</v>
      </c>
      <c r="CF119" s="10">
        <v>0.51200000000000001</v>
      </c>
      <c r="CG119">
        <v>240</v>
      </c>
      <c r="CH119" s="13">
        <v>754</v>
      </c>
      <c r="CI119" s="13">
        <v>754</v>
      </c>
      <c r="CJ119">
        <v>0</v>
      </c>
      <c r="CK119">
        <v>109</v>
      </c>
      <c r="CL119">
        <v>0.20000000298023224</v>
      </c>
      <c r="CM119" s="1">
        <v>11</v>
      </c>
      <c r="CR119">
        <v>4190.0810546875</v>
      </c>
      <c r="CS119">
        <v>1.3528817817132222E-6</v>
      </c>
      <c r="CT119">
        <v>0.60003471374511719</v>
      </c>
    </row>
    <row r="120" spans="1:98" x14ac:dyDescent="0.3">
      <c r="A120" s="4">
        <v>7</v>
      </c>
      <c r="B120" s="6">
        <v>1360</v>
      </c>
      <c r="C120" s="5">
        <v>26.52</v>
      </c>
      <c r="D120">
        <v>2</v>
      </c>
      <c r="E120">
        <v>2</v>
      </c>
      <c r="F120">
        <v>808</v>
      </c>
      <c r="G120" s="12">
        <v>460.5</v>
      </c>
      <c r="H120" s="5">
        <v>14.99</v>
      </c>
      <c r="I120" s="5">
        <v>17.23</v>
      </c>
      <c r="J120" s="5">
        <v>27.82</v>
      </c>
      <c r="K120" s="5">
        <f t="shared" si="25"/>
        <v>16.11</v>
      </c>
      <c r="L120" s="5">
        <f t="shared" si="26"/>
        <v>2.2400000000000002</v>
      </c>
      <c r="M120" s="5">
        <f t="shared" si="27"/>
        <v>11.71</v>
      </c>
      <c r="N120" s="13">
        <v>1121.3</v>
      </c>
      <c r="O120" s="17">
        <f t="shared" si="28"/>
        <v>4.829200633109847E-6</v>
      </c>
      <c r="P120">
        <f t="shared" si="29"/>
        <v>1.379731702745912E-3</v>
      </c>
      <c r="Q120" s="11">
        <f t="shared" si="30"/>
        <v>1073.1834484243795</v>
      </c>
      <c r="R120" s="15">
        <f t="shared" si="31"/>
        <v>48.116551575620406</v>
      </c>
      <c r="S120" s="16">
        <f t="shared" si="32"/>
        <v>4.4835346320579061</v>
      </c>
      <c r="V120" s="14">
        <v>0.01</v>
      </c>
      <c r="W120" s="9">
        <v>0.89</v>
      </c>
      <c r="X120" s="6">
        <v>1400</v>
      </c>
      <c r="AC120" s="5">
        <v>22.212815052350063</v>
      </c>
      <c r="AE120">
        <v>3</v>
      </c>
      <c r="AG120" s="13"/>
      <c r="AH120" s="13"/>
      <c r="AI120" s="10"/>
      <c r="AJ120" s="13">
        <v>1645</v>
      </c>
      <c r="AK120" s="13">
        <v>1645</v>
      </c>
      <c r="AL120" s="10">
        <v>2.5267068047816643E-2</v>
      </c>
      <c r="AM120" s="1">
        <v>14.5</v>
      </c>
      <c r="AN120" s="2">
        <v>57</v>
      </c>
      <c r="AO120" s="3">
        <v>5.8600001335144043</v>
      </c>
      <c r="AP120" s="3">
        <v>5.8600001335144043</v>
      </c>
      <c r="AR120" s="1">
        <v>-13.920000000000002</v>
      </c>
      <c r="AS120" s="1">
        <v>-5.92</v>
      </c>
      <c r="AT120" s="1">
        <v>-10.96</v>
      </c>
      <c r="AU120">
        <v>4</v>
      </c>
      <c r="AV120" s="7">
        <v>0.73877538815613619</v>
      </c>
      <c r="AW120" s="3">
        <v>5.8600001335144043</v>
      </c>
      <c r="AX120" s="7">
        <v>0.35168834467441756</v>
      </c>
      <c r="AZ120" s="10">
        <v>0.26122461184386364</v>
      </c>
      <c r="BB120" s="10"/>
      <c r="CD120" s="10">
        <v>0.28328975687490238</v>
      </c>
      <c r="CE120" s="10">
        <v>7.7888961727558895E-2</v>
      </c>
      <c r="CF120" s="10">
        <v>0.26819999999999999</v>
      </c>
      <c r="CG120">
        <v>640</v>
      </c>
      <c r="CH120" s="13">
        <v>1645</v>
      </c>
      <c r="CI120" s="13">
        <v>1645</v>
      </c>
      <c r="CJ120">
        <v>0</v>
      </c>
      <c r="CK120">
        <v>239</v>
      </c>
      <c r="CL120">
        <v>2.2000000476837158</v>
      </c>
      <c r="CM120" s="1">
        <v>14.5</v>
      </c>
      <c r="CR120">
        <v>4190.62548828125</v>
      </c>
      <c r="CS120">
        <v>1.2798593616025755E-6</v>
      </c>
      <c r="CT120">
        <v>0.60314416885375977</v>
      </c>
    </row>
    <row r="121" spans="1:98" x14ac:dyDescent="0.3">
      <c r="A121" s="4">
        <v>7</v>
      </c>
      <c r="B121" s="6">
        <v>1360</v>
      </c>
      <c r="C121" s="5">
        <v>27.18</v>
      </c>
      <c r="D121">
        <v>2</v>
      </c>
      <c r="E121">
        <v>2</v>
      </c>
      <c r="F121">
        <v>809</v>
      </c>
      <c r="G121" s="12">
        <v>459.3</v>
      </c>
      <c r="H121" s="5">
        <v>19.03</v>
      </c>
      <c r="I121" s="5">
        <v>20.65</v>
      </c>
      <c r="J121" s="5">
        <v>28</v>
      </c>
      <c r="K121" s="5">
        <f t="shared" si="25"/>
        <v>19.84</v>
      </c>
      <c r="L121" s="5">
        <f t="shared" si="26"/>
        <v>1.6199999999999974</v>
      </c>
      <c r="M121" s="5">
        <f t="shared" si="27"/>
        <v>8.16</v>
      </c>
      <c r="N121" s="13">
        <v>808.93</v>
      </c>
      <c r="O121" s="17">
        <f t="shared" si="28"/>
        <v>4.0276523147990545E-6</v>
      </c>
      <c r="P121">
        <f t="shared" si="29"/>
        <v>1.3796365785542911E-3</v>
      </c>
      <c r="Q121" s="11">
        <f t="shared" si="30"/>
        <v>786.41466645473577</v>
      </c>
      <c r="R121" s="15">
        <f t="shared" si="31"/>
        <v>22.515333545264184</v>
      </c>
      <c r="S121" s="16">
        <f t="shared" si="32"/>
        <v>2.8630358137604839</v>
      </c>
      <c r="V121" s="14">
        <v>0.25</v>
      </c>
      <c r="W121" s="9">
        <v>0.89</v>
      </c>
      <c r="X121" s="6">
        <v>1400</v>
      </c>
      <c r="AC121" s="5">
        <v>23.193298558389504</v>
      </c>
      <c r="AE121">
        <v>3</v>
      </c>
      <c r="AG121" s="13"/>
      <c r="AH121" s="13"/>
      <c r="AI121" s="10"/>
      <c r="AJ121" s="13">
        <v>1158</v>
      </c>
      <c r="AK121" s="13">
        <v>1158</v>
      </c>
      <c r="AL121" s="10">
        <v>5.7128772525606442E-2</v>
      </c>
      <c r="AM121" s="1">
        <v>14.899999618530273</v>
      </c>
      <c r="AN121" s="2">
        <v>66</v>
      </c>
      <c r="AO121" s="3">
        <v>6.880000114440918</v>
      </c>
      <c r="AP121" s="3">
        <v>6.880000114440918</v>
      </c>
      <c r="AR121" s="1">
        <v>-15.190000000000001</v>
      </c>
      <c r="AS121" s="1">
        <v>-4.74</v>
      </c>
      <c r="AT121" s="1">
        <v>-12.82</v>
      </c>
      <c r="AU121">
        <v>4</v>
      </c>
      <c r="AV121" s="7">
        <v>0.65198889081330236</v>
      </c>
      <c r="AW121" s="3">
        <v>6.880000114440918</v>
      </c>
      <c r="AX121" s="7">
        <v>0.38842474742060057</v>
      </c>
      <c r="AZ121" s="10">
        <v>0.34801110918669748</v>
      </c>
      <c r="BB121" s="10"/>
      <c r="CD121" s="10">
        <v>0.38772618997829683</v>
      </c>
      <c r="CE121" s="10">
        <v>0.10243074060543196</v>
      </c>
      <c r="CF121" s="10">
        <v>0.37519999999999998</v>
      </c>
      <c r="CG121">
        <v>415</v>
      </c>
      <c r="CH121" s="13">
        <v>1158</v>
      </c>
      <c r="CI121" s="13">
        <v>1158</v>
      </c>
      <c r="CJ121">
        <v>0</v>
      </c>
      <c r="CK121">
        <v>210</v>
      </c>
      <c r="CL121">
        <v>1.7000000476837158</v>
      </c>
      <c r="CM121" s="1">
        <v>14.899999618530273</v>
      </c>
      <c r="CR121">
        <v>4190.98876953125</v>
      </c>
      <c r="CS121">
        <v>1.2300915841478854E-6</v>
      </c>
      <c r="CT121">
        <v>0.60535979270935059</v>
      </c>
    </row>
    <row r="122" spans="1:98" x14ac:dyDescent="0.3">
      <c r="A122" s="4">
        <v>7</v>
      </c>
      <c r="B122" s="6">
        <v>1360</v>
      </c>
      <c r="C122" s="5">
        <v>19.34</v>
      </c>
      <c r="D122">
        <v>2</v>
      </c>
      <c r="E122">
        <v>2</v>
      </c>
      <c r="F122">
        <v>827</v>
      </c>
      <c r="G122" s="12">
        <v>472.2</v>
      </c>
      <c r="H122" s="5">
        <v>8.06</v>
      </c>
      <c r="I122" s="5">
        <v>13.77</v>
      </c>
      <c r="J122" s="5">
        <v>20.03</v>
      </c>
      <c r="K122" s="5">
        <f t="shared" si="25"/>
        <v>10.914999999999999</v>
      </c>
      <c r="L122" s="5">
        <f t="shared" si="26"/>
        <v>5.7099999999999991</v>
      </c>
      <c r="M122" s="5">
        <f t="shared" si="27"/>
        <v>9.115000000000002</v>
      </c>
      <c r="N122" s="13">
        <v>734</v>
      </c>
      <c r="O122" s="17">
        <f t="shared" si="28"/>
        <v>6.3484698925264165E-6</v>
      </c>
      <c r="P122">
        <f t="shared" si="29"/>
        <v>1.3792130998370573E-3</v>
      </c>
      <c r="Q122" s="11">
        <f t="shared" si="30"/>
        <v>770.00070048802888</v>
      </c>
      <c r="R122" s="15">
        <f t="shared" si="31"/>
        <v>36.000700488028883</v>
      </c>
      <c r="S122" s="16">
        <f t="shared" si="32"/>
        <v>4.6754113944586724</v>
      </c>
      <c r="V122" s="14">
        <v>0.2</v>
      </c>
      <c r="W122" s="9">
        <v>0.89</v>
      </c>
      <c r="X122" s="6">
        <v>1400</v>
      </c>
      <c r="AC122" s="5">
        <v>19.643234465999807</v>
      </c>
      <c r="AE122">
        <v>3</v>
      </c>
      <c r="AG122" s="13"/>
      <c r="AH122" s="13"/>
      <c r="AI122" s="10"/>
      <c r="AJ122" s="13">
        <v>1121</v>
      </c>
      <c r="AK122" s="13">
        <v>1121</v>
      </c>
      <c r="AL122" s="10">
        <v>5.3888387484957834E-2</v>
      </c>
      <c r="AM122" s="1">
        <v>11.800000190734863</v>
      </c>
      <c r="AN122" s="2">
        <v>65</v>
      </c>
      <c r="AO122" s="3">
        <v>5.5199999809265137</v>
      </c>
      <c r="AP122" s="3">
        <v>5.5199999809265137</v>
      </c>
      <c r="AR122" s="1">
        <v>-14.965</v>
      </c>
      <c r="AS122" s="1">
        <v>-6.01</v>
      </c>
      <c r="AT122" s="1">
        <v>-11.96</v>
      </c>
      <c r="AU122">
        <v>4</v>
      </c>
      <c r="AV122" s="7">
        <v>0.64500282880669979</v>
      </c>
      <c r="AW122" s="3">
        <v>5.5199999809265137</v>
      </c>
      <c r="AX122" s="7">
        <v>0.38821553051036373</v>
      </c>
      <c r="AZ122" s="10">
        <v>0.35499717119330021</v>
      </c>
      <c r="BB122" s="10"/>
      <c r="CD122" s="10">
        <v>0.38046876507316979</v>
      </c>
      <c r="CE122" s="10">
        <v>6.6947923767069331E-2</v>
      </c>
      <c r="CF122" s="10">
        <v>0.37180000000000002</v>
      </c>
      <c r="CG122">
        <v>420</v>
      </c>
      <c r="CH122" s="13">
        <v>1121</v>
      </c>
      <c r="CI122" s="13">
        <v>1121</v>
      </c>
      <c r="CJ122">
        <v>0</v>
      </c>
      <c r="CK122">
        <v>160</v>
      </c>
      <c r="CL122">
        <v>1.1000000238418579</v>
      </c>
      <c r="CM122" s="1">
        <v>11.800000190734863</v>
      </c>
      <c r="CR122">
        <v>4190.05615234375</v>
      </c>
      <c r="CS122">
        <v>1.3562060985350399E-6</v>
      </c>
      <c r="CT122">
        <v>0.59989684820175171</v>
      </c>
    </row>
    <row r="123" spans="1:98" x14ac:dyDescent="0.3">
      <c r="A123" s="4">
        <v>7</v>
      </c>
      <c r="B123" s="6">
        <v>1360</v>
      </c>
      <c r="C123" s="5">
        <v>26.69</v>
      </c>
      <c r="D123">
        <v>2</v>
      </c>
      <c r="E123">
        <v>2</v>
      </c>
      <c r="F123">
        <v>827</v>
      </c>
      <c r="G123" s="12">
        <v>475.3</v>
      </c>
      <c r="H123" s="5">
        <v>8.14</v>
      </c>
      <c r="I123" s="5">
        <v>18.170000000000002</v>
      </c>
      <c r="J123" s="5">
        <v>27.93</v>
      </c>
      <c r="K123" s="5">
        <f t="shared" si="25"/>
        <v>13.155000000000001</v>
      </c>
      <c r="L123" s="5">
        <f t="shared" si="26"/>
        <v>10.030000000000001</v>
      </c>
      <c r="M123" s="5">
        <f t="shared" si="27"/>
        <v>14.774999999999999</v>
      </c>
      <c r="N123" s="13">
        <v>1128.52</v>
      </c>
      <c r="O123" s="17">
        <f t="shared" si="28"/>
        <v>7.9925229892275922E-6</v>
      </c>
      <c r="P123">
        <f t="shared" si="29"/>
        <v>1.3796317145804726E-3</v>
      </c>
      <c r="Q123" s="11">
        <f t="shared" si="30"/>
        <v>1113.3780953195428</v>
      </c>
      <c r="R123" s="15">
        <f t="shared" si="31"/>
        <v>15.141904680457174</v>
      </c>
      <c r="S123" s="16">
        <f t="shared" si="32"/>
        <v>1.3599966394265639</v>
      </c>
      <c r="V123" s="14">
        <v>0.1</v>
      </c>
      <c r="W123" s="9">
        <v>0.89</v>
      </c>
      <c r="X123" s="6">
        <v>1400</v>
      </c>
      <c r="AC123" s="5">
        <v>18.742033227567024</v>
      </c>
      <c r="AE123">
        <v>3</v>
      </c>
      <c r="AG123" s="13"/>
      <c r="AH123" s="13"/>
      <c r="AI123" s="10"/>
      <c r="AJ123" s="13">
        <v>555</v>
      </c>
      <c r="AK123" s="13">
        <v>555</v>
      </c>
      <c r="AL123" s="10">
        <v>1.3069509345794428E-2</v>
      </c>
      <c r="AM123" s="1">
        <v>13.199999809265137</v>
      </c>
      <c r="AN123" s="2">
        <v>52</v>
      </c>
      <c r="AO123" s="3">
        <v>4.9000000953674316</v>
      </c>
      <c r="AP123" s="3">
        <v>4.9000000953674316</v>
      </c>
      <c r="AR123" s="1">
        <v>-10.175000000000001</v>
      </c>
      <c r="AS123" s="1">
        <v>-3.67</v>
      </c>
      <c r="AT123" s="1">
        <v>-8.34</v>
      </c>
      <c r="AU123">
        <v>4</v>
      </c>
      <c r="AV123" s="7">
        <v>0.62906166836752497</v>
      </c>
      <c r="AW123" s="3">
        <v>4.9000000953674316</v>
      </c>
      <c r="AX123" s="7">
        <v>0.36488408791526511</v>
      </c>
      <c r="AZ123" s="10">
        <v>0.37093833163247503</v>
      </c>
      <c r="BB123" s="10"/>
      <c r="CD123" s="10">
        <v>0.39</v>
      </c>
      <c r="CE123" s="10">
        <v>4.8876072737243551E-2</v>
      </c>
      <c r="CF123" s="10">
        <v>0.39069999999999999</v>
      </c>
      <c r="CG123">
        <v>295</v>
      </c>
      <c r="CH123" s="13">
        <v>555</v>
      </c>
      <c r="CI123" s="13">
        <v>555</v>
      </c>
      <c r="CJ123">
        <v>0</v>
      </c>
      <c r="CK123">
        <v>130</v>
      </c>
      <c r="CL123">
        <v>0.69999998807907104</v>
      </c>
      <c r="CM123" s="1">
        <v>13.199999809265137</v>
      </c>
      <c r="CR123">
        <v>4190.8388671875</v>
      </c>
      <c r="CS123">
        <v>1.25076360291132E-6</v>
      </c>
      <c r="CT123">
        <v>0.60442924499511719</v>
      </c>
    </row>
    <row r="124" spans="1:98" x14ac:dyDescent="0.3">
      <c r="A124" s="4">
        <v>8.01</v>
      </c>
      <c r="B124" s="6">
        <v>1360</v>
      </c>
      <c r="C124" s="5">
        <v>26.68</v>
      </c>
      <c r="D124">
        <v>2</v>
      </c>
      <c r="E124">
        <v>2</v>
      </c>
      <c r="F124">
        <v>910</v>
      </c>
      <c r="G124" s="12">
        <v>530.79999999999995</v>
      </c>
      <c r="H124" s="5">
        <v>15</v>
      </c>
      <c r="I124" s="5">
        <v>17.350000000000001</v>
      </c>
      <c r="J124" s="5">
        <v>27.9</v>
      </c>
      <c r="K124" s="5">
        <f t="shared" si="25"/>
        <v>16.175000000000001</v>
      </c>
      <c r="L124" s="5">
        <f t="shared" si="26"/>
        <v>2.3500000000000014</v>
      </c>
      <c r="M124" s="5">
        <f t="shared" si="27"/>
        <v>11.724999999999998</v>
      </c>
      <c r="N124" s="13">
        <v>1290.53</v>
      </c>
      <c r="O124" s="17">
        <f t="shared" si="28"/>
        <v>4.7712220132282291E-6</v>
      </c>
      <c r="P124">
        <f t="shared" si="29"/>
        <v>1.3795692475362317E-3</v>
      </c>
      <c r="Q124" s="11">
        <f t="shared" si="30"/>
        <v>1278.4198294087091</v>
      </c>
      <c r="R124" s="15">
        <f t="shared" si="31"/>
        <v>12.110170591290853</v>
      </c>
      <c r="S124" s="16">
        <f t="shared" si="32"/>
        <v>0.94727649811972015</v>
      </c>
      <c r="V124" s="14">
        <v>0.1</v>
      </c>
      <c r="W124" s="9">
        <v>0.89</v>
      </c>
      <c r="X124" s="6">
        <v>1400</v>
      </c>
      <c r="AC124" s="5">
        <v>20.595615821971155</v>
      </c>
      <c r="AE124">
        <v>3</v>
      </c>
      <c r="AG124" s="13"/>
      <c r="AH124" s="13"/>
      <c r="AI124" s="10"/>
      <c r="AJ124" s="13">
        <v>725</v>
      </c>
      <c r="AK124" s="13">
        <v>725</v>
      </c>
      <c r="AL124" s="10">
        <v>3.9888696051291639E-2</v>
      </c>
      <c r="AM124" s="1">
        <v>14.5</v>
      </c>
      <c r="AN124" s="2">
        <v>54</v>
      </c>
      <c r="AO124" s="3">
        <v>5.5300002098083496</v>
      </c>
      <c r="AP124" s="3">
        <v>5.5300002098083496</v>
      </c>
      <c r="AR124" s="1">
        <v>-11.434999999999999</v>
      </c>
      <c r="AS124" s="1">
        <v>-5.1099999999999994</v>
      </c>
      <c r="AT124" s="1">
        <v>-8.879999999999999</v>
      </c>
      <c r="AU124">
        <v>4</v>
      </c>
      <c r="AV124" s="7">
        <v>0.64231989694111236</v>
      </c>
      <c r="AW124" s="3">
        <v>5.5300002098083496</v>
      </c>
      <c r="AX124" s="7">
        <v>0.36665216222628033</v>
      </c>
      <c r="AZ124" s="10">
        <v>0.35768010305888764</v>
      </c>
      <c r="BB124" s="10"/>
      <c r="CD124" s="10">
        <v>0.37208744583817027</v>
      </c>
      <c r="CE124" s="10">
        <v>3.8720314110110357E-2</v>
      </c>
      <c r="CF124" s="10">
        <v>0.36180000000000001</v>
      </c>
      <c r="CG124">
        <v>355</v>
      </c>
      <c r="CH124" s="13">
        <v>725</v>
      </c>
      <c r="CI124" s="13">
        <v>725</v>
      </c>
      <c r="CJ124">
        <v>0</v>
      </c>
      <c r="CK124">
        <v>122</v>
      </c>
      <c r="CL124">
        <v>0.60000002384185791</v>
      </c>
      <c r="CM124" s="1">
        <v>14.5</v>
      </c>
      <c r="CR124">
        <v>4191.01953125</v>
      </c>
      <c r="CS124">
        <v>1.2258088872840744E-6</v>
      </c>
      <c r="CT124">
        <v>0.60555446147918701</v>
      </c>
    </row>
    <row r="125" spans="1:98" x14ac:dyDescent="0.3">
      <c r="A125" s="4">
        <v>8.3000000000000007</v>
      </c>
      <c r="B125" s="6">
        <v>1360</v>
      </c>
      <c r="C125" s="5">
        <v>22.81</v>
      </c>
      <c r="D125">
        <v>2</v>
      </c>
      <c r="E125">
        <v>2</v>
      </c>
      <c r="F125">
        <v>911</v>
      </c>
      <c r="G125" s="12">
        <v>533.5</v>
      </c>
      <c r="H125" s="5">
        <v>5.99</v>
      </c>
      <c r="I125" s="5">
        <v>12.27</v>
      </c>
      <c r="J125" s="5">
        <v>24.06</v>
      </c>
      <c r="K125" s="5">
        <f t="shared" si="25"/>
        <v>9.129999999999999</v>
      </c>
      <c r="L125" s="5">
        <f t="shared" si="26"/>
        <v>6.2799999999999994</v>
      </c>
      <c r="M125" s="5">
        <f t="shared" si="27"/>
        <v>14.93</v>
      </c>
      <c r="N125" s="13">
        <v>1384.77</v>
      </c>
      <c r="O125" s="17">
        <f t="shared" si="28"/>
        <v>7.0998326589560722E-6</v>
      </c>
      <c r="P125">
        <f t="shared" si="29"/>
        <v>1.3797574110214685E-3</v>
      </c>
      <c r="Q125" s="11">
        <f t="shared" si="30"/>
        <v>1339.3375451666909</v>
      </c>
      <c r="R125" s="15">
        <f t="shared" si="31"/>
        <v>45.432454833309066</v>
      </c>
      <c r="S125" s="16">
        <f t="shared" si="32"/>
        <v>3.3921586830192751</v>
      </c>
      <c r="V125" s="14">
        <v>0.1</v>
      </c>
      <c r="W125" s="9">
        <v>0.86</v>
      </c>
      <c r="X125" s="6">
        <v>1400</v>
      </c>
      <c r="AC125" s="5">
        <v>17.431745056811796</v>
      </c>
      <c r="AE125">
        <v>3</v>
      </c>
      <c r="AG125" s="13"/>
      <c r="AH125" s="13"/>
      <c r="AI125" s="10"/>
      <c r="AJ125" s="13">
        <v>425</v>
      </c>
      <c r="AK125" s="13">
        <v>425</v>
      </c>
      <c r="AL125" s="10">
        <v>-6.1146947070778501E-2</v>
      </c>
      <c r="AM125" s="1">
        <v>13.199999809265137</v>
      </c>
      <c r="AN125" s="2">
        <v>46</v>
      </c>
      <c r="AO125" s="3">
        <v>4.3299999237060547</v>
      </c>
      <c r="AP125" s="3">
        <v>4.3299999237060547</v>
      </c>
      <c r="AR125" s="1">
        <v>-8.8949999999999996</v>
      </c>
      <c r="AS125" s="1">
        <v>-6.07</v>
      </c>
      <c r="AT125" s="1">
        <v>-5.8599999999999994</v>
      </c>
      <c r="AU125">
        <v>3</v>
      </c>
      <c r="AV125" s="7">
        <v>0.62231546012491246</v>
      </c>
      <c r="AW125" s="3">
        <v>4.3299999237060547</v>
      </c>
      <c r="AX125" s="7">
        <v>0.35044185652695303</v>
      </c>
      <c r="AZ125" s="10">
        <v>0.37768453987508765</v>
      </c>
      <c r="BB125" s="10"/>
      <c r="CD125" s="10">
        <v>0.35</v>
      </c>
      <c r="CE125" s="10">
        <v>7.9098685357393367E-2</v>
      </c>
      <c r="CF125" s="10">
        <v>0.3629</v>
      </c>
      <c r="CG125">
        <v>295</v>
      </c>
      <c r="CH125" s="13">
        <v>425</v>
      </c>
      <c r="CI125" s="13">
        <v>425</v>
      </c>
      <c r="CJ125">
        <v>0</v>
      </c>
      <c r="CK125">
        <v>60</v>
      </c>
      <c r="CL125">
        <v>0.20000000298023224</v>
      </c>
      <c r="CM125" s="1">
        <v>13.199999809265137</v>
      </c>
      <c r="CR125">
        <v>4190.64794921875</v>
      </c>
      <c r="CS125">
        <v>1.2767821999659645E-6</v>
      </c>
      <c r="CT125">
        <v>0.6032787561416626</v>
      </c>
    </row>
    <row r="126" spans="1:98" x14ac:dyDescent="0.3">
      <c r="A126" s="4">
        <v>8.01</v>
      </c>
      <c r="B126" s="6">
        <v>1360</v>
      </c>
      <c r="C126" s="5">
        <v>27.07</v>
      </c>
      <c r="D126">
        <v>2</v>
      </c>
      <c r="E126">
        <v>2</v>
      </c>
      <c r="F126">
        <v>911</v>
      </c>
      <c r="G126" s="12">
        <v>530.4</v>
      </c>
      <c r="H126" s="5">
        <v>17.010000000000002</v>
      </c>
      <c r="I126" s="5">
        <v>19.05</v>
      </c>
      <c r="J126" s="5">
        <v>28.02</v>
      </c>
      <c r="K126" s="5">
        <f t="shared" si="25"/>
        <v>18.03</v>
      </c>
      <c r="L126" s="5">
        <f t="shared" si="26"/>
        <v>2.0399999999999991</v>
      </c>
      <c r="M126" s="5">
        <f t="shared" si="27"/>
        <v>9.9899999999999984</v>
      </c>
      <c r="N126" s="13">
        <v>1122.8900000000001</v>
      </c>
      <c r="O126" s="17">
        <f t="shared" si="28"/>
        <v>4.4181245139679354E-6</v>
      </c>
      <c r="P126">
        <f t="shared" si="29"/>
        <v>1.3795244749549747E-3</v>
      </c>
      <c r="Q126" s="11">
        <f t="shared" si="30"/>
        <v>1122.8900092128647</v>
      </c>
      <c r="R126" s="15">
        <f t="shared" si="31"/>
        <v>9.2128645974298706E-6</v>
      </c>
      <c r="S126" s="16">
        <f t="shared" si="32"/>
        <v>8.2046011096181815E-7</v>
      </c>
      <c r="V126" s="14">
        <v>0.1</v>
      </c>
      <c r="W126" s="9">
        <v>0.86</v>
      </c>
      <c r="X126" s="6">
        <v>1400</v>
      </c>
      <c r="AC126" s="5">
        <v>17.753713267656941</v>
      </c>
      <c r="AE126">
        <v>3</v>
      </c>
      <c r="AG126" s="13"/>
      <c r="AH126" s="13"/>
      <c r="AI126" s="10"/>
      <c r="AJ126" s="13">
        <v>514</v>
      </c>
      <c r="AK126" s="13">
        <v>514</v>
      </c>
      <c r="AL126" s="10">
        <v>-5.6880733944954076E-2</v>
      </c>
      <c r="AM126" s="1">
        <v>13.5</v>
      </c>
      <c r="AN126" s="2">
        <v>45</v>
      </c>
      <c r="AO126" s="3">
        <v>4.3299999237060547</v>
      </c>
      <c r="AP126" s="3">
        <v>4.3299999237060547</v>
      </c>
      <c r="AR126" s="1">
        <v>-8.8350000000000009</v>
      </c>
      <c r="AS126" s="1">
        <v>-6.17</v>
      </c>
      <c r="AT126" s="1">
        <v>-5.7500000000000009</v>
      </c>
      <c r="AU126">
        <v>3</v>
      </c>
      <c r="AV126" s="7">
        <v>0.65441742579337558</v>
      </c>
      <c r="AW126" s="3">
        <v>4.3299999237060547</v>
      </c>
      <c r="AX126" s="7">
        <v>0.34339325938757509</v>
      </c>
      <c r="AZ126" s="10">
        <v>0.34558257420662475</v>
      </c>
      <c r="BB126" s="10"/>
      <c r="CD126" s="10">
        <v>0.30213563918819847</v>
      </c>
      <c r="CE126" s="10">
        <v>0.14379943768025144</v>
      </c>
      <c r="CF126" s="10">
        <v>0.30640000000000001</v>
      </c>
      <c r="CG126">
        <v>355</v>
      </c>
      <c r="CH126" s="13">
        <v>514</v>
      </c>
      <c r="CI126" s="13">
        <v>514</v>
      </c>
      <c r="CJ126">
        <v>0</v>
      </c>
      <c r="CK126">
        <v>72</v>
      </c>
      <c r="CL126">
        <v>0.20000000298023224</v>
      </c>
      <c r="CM126" s="1">
        <v>13.5</v>
      </c>
      <c r="CR126">
        <v>4190.6640625</v>
      </c>
      <c r="CS126">
        <v>1.2746160109600169E-6</v>
      </c>
      <c r="CT126">
        <v>0.60337370634078979</v>
      </c>
    </row>
    <row r="127" spans="1:98" x14ac:dyDescent="0.3">
      <c r="A127" s="4">
        <v>8.01</v>
      </c>
      <c r="B127" s="6">
        <v>1360</v>
      </c>
      <c r="C127" s="5">
        <v>27.18</v>
      </c>
      <c r="D127">
        <v>2</v>
      </c>
      <c r="E127">
        <v>2</v>
      </c>
      <c r="F127">
        <v>911</v>
      </c>
      <c r="G127" s="12">
        <v>529.29999999999995</v>
      </c>
      <c r="H127" s="5">
        <v>19.010000000000002</v>
      </c>
      <c r="I127" s="5">
        <v>20.7</v>
      </c>
      <c r="J127" s="5">
        <v>28.02</v>
      </c>
      <c r="K127" s="5">
        <f t="shared" si="25"/>
        <v>19.855</v>
      </c>
      <c r="L127" s="5">
        <f t="shared" si="26"/>
        <v>1.6899999999999977</v>
      </c>
      <c r="M127" s="5">
        <f t="shared" si="27"/>
        <v>8.1649999999999991</v>
      </c>
      <c r="N127" s="13">
        <v>930.27</v>
      </c>
      <c r="O127" s="17">
        <f t="shared" si="28"/>
        <v>3.9704800524172226E-6</v>
      </c>
      <c r="P127">
        <f t="shared" si="29"/>
        <v>1.3794871670654448E-3</v>
      </c>
      <c r="Q127" s="11">
        <f t="shared" si="30"/>
        <v>939.01112038243866</v>
      </c>
      <c r="R127" s="15">
        <f t="shared" si="31"/>
        <v>8.7411203824386803</v>
      </c>
      <c r="S127" s="16">
        <f t="shared" si="32"/>
        <v>0.93088571505719475</v>
      </c>
      <c r="V127" s="14">
        <v>0.1</v>
      </c>
      <c r="W127" s="9">
        <v>0.86</v>
      </c>
      <c r="X127" s="6">
        <v>1400</v>
      </c>
      <c r="AC127" s="5">
        <v>17.993771454068135</v>
      </c>
      <c r="AE127">
        <v>3</v>
      </c>
      <c r="AG127" s="13"/>
      <c r="AH127" s="13"/>
      <c r="AI127" s="10"/>
      <c r="AJ127" s="13">
        <v>620</v>
      </c>
      <c r="AK127" s="13">
        <v>620</v>
      </c>
      <c r="AL127" s="10">
        <v>-2.6687598116169498E-2</v>
      </c>
      <c r="AM127" s="1">
        <v>13.600000381469727</v>
      </c>
      <c r="AN127" s="2">
        <v>45</v>
      </c>
      <c r="AO127" s="3">
        <v>4.3400001525878906</v>
      </c>
      <c r="AP127" s="3">
        <v>4.3400001525878906</v>
      </c>
      <c r="AR127" s="1">
        <v>-8.8850000000000016</v>
      </c>
      <c r="AS127" s="1">
        <v>-6.1099999999999994</v>
      </c>
      <c r="AT127" s="1">
        <v>-5.8300000000000018</v>
      </c>
      <c r="AU127">
        <v>3</v>
      </c>
      <c r="AV127" s="7">
        <v>0.68545574634618145</v>
      </c>
      <c r="AW127" s="3">
        <v>4.3400001525878906</v>
      </c>
      <c r="AX127" s="7">
        <v>0.33901718014675863</v>
      </c>
      <c r="AZ127" s="10">
        <v>0.31454425365381827</v>
      </c>
      <c r="BB127" s="10"/>
      <c r="CD127" s="10">
        <v>0.28999999999999998</v>
      </c>
      <c r="CE127" s="10">
        <v>8.4635357426959643E-2</v>
      </c>
      <c r="CF127" s="10">
        <v>0.27639999999999998</v>
      </c>
      <c r="CG127">
        <v>415</v>
      </c>
      <c r="CH127" s="13">
        <v>620</v>
      </c>
      <c r="CI127" s="13">
        <v>620</v>
      </c>
      <c r="CJ127">
        <v>0</v>
      </c>
      <c r="CK127">
        <v>87</v>
      </c>
      <c r="CL127">
        <v>0.40000000596046448</v>
      </c>
      <c r="CM127" s="1">
        <v>13.600000381469727</v>
      </c>
      <c r="CR127">
        <v>4190.6533203125</v>
      </c>
      <c r="CS127">
        <v>1.2760594927385682E-6</v>
      </c>
      <c r="CT127">
        <v>0.60331040620803833</v>
      </c>
    </row>
    <row r="128" spans="1:98" x14ac:dyDescent="0.3">
      <c r="A128" s="4">
        <v>8</v>
      </c>
      <c r="B128" s="6">
        <v>1360</v>
      </c>
      <c r="C128" s="5">
        <v>19.55</v>
      </c>
      <c r="D128">
        <v>2</v>
      </c>
      <c r="E128">
        <v>2</v>
      </c>
      <c r="F128">
        <v>911</v>
      </c>
      <c r="G128" s="12">
        <v>529.79999999999995</v>
      </c>
      <c r="H128" s="5">
        <v>8.06</v>
      </c>
      <c r="I128" s="5">
        <v>14.06</v>
      </c>
      <c r="J128" s="5">
        <v>20.05</v>
      </c>
      <c r="K128" s="5">
        <f t="shared" si="25"/>
        <v>11.06</v>
      </c>
      <c r="L128" s="5">
        <f t="shared" si="26"/>
        <v>6</v>
      </c>
      <c r="M128" s="5">
        <f t="shared" si="27"/>
        <v>8.99</v>
      </c>
      <c r="N128" s="13">
        <v>818.26</v>
      </c>
      <c r="O128" s="17">
        <f t="shared" si="28"/>
        <v>6.3592540427762686E-6</v>
      </c>
      <c r="P128">
        <f t="shared" si="29"/>
        <v>1.3791160784667543E-3</v>
      </c>
      <c r="Q128" s="11">
        <f t="shared" si="30"/>
        <v>870.80933013596575</v>
      </c>
      <c r="R128" s="15">
        <f t="shared" si="31"/>
        <v>52.549330135965761</v>
      </c>
      <c r="S128" s="16">
        <f t="shared" si="32"/>
        <v>6.0345391714809571</v>
      </c>
      <c r="V128" s="14">
        <v>0.1</v>
      </c>
      <c r="W128" s="9">
        <v>0.87</v>
      </c>
      <c r="X128" s="6">
        <v>1400</v>
      </c>
      <c r="AC128" s="5">
        <v>18.146102587642066</v>
      </c>
      <c r="AE128">
        <v>3</v>
      </c>
      <c r="AG128" s="13"/>
      <c r="AH128" s="13"/>
      <c r="AI128" s="10"/>
      <c r="AJ128" s="13">
        <v>765</v>
      </c>
      <c r="AK128" s="13">
        <v>765</v>
      </c>
      <c r="AL128" s="10">
        <v>4.2234332425068022E-2</v>
      </c>
      <c r="AM128" s="1">
        <v>13.399999618530273</v>
      </c>
      <c r="AN128" s="2">
        <v>46</v>
      </c>
      <c r="AO128" s="3">
        <v>4.3400001525878906</v>
      </c>
      <c r="AP128" s="3">
        <v>4.3400001525878906</v>
      </c>
      <c r="AR128" s="1">
        <v>-9.115000000000002</v>
      </c>
      <c r="AS128" s="1">
        <v>-5.7099999999999991</v>
      </c>
      <c r="AT128" s="1">
        <v>-6.2600000000000025</v>
      </c>
      <c r="AU128">
        <v>3</v>
      </c>
      <c r="AV128" s="7">
        <v>0.71585259367054266</v>
      </c>
      <c r="AW128" s="3">
        <v>4.3400001525878906</v>
      </c>
      <c r="AX128" s="7">
        <v>0.33578567327050285</v>
      </c>
      <c r="AZ128" s="10">
        <v>0.28414740632945723</v>
      </c>
      <c r="BB128" s="10"/>
      <c r="CD128" s="10">
        <v>0.31</v>
      </c>
      <c r="CE128" s="10">
        <v>8.3395463453363766E-2</v>
      </c>
      <c r="CF128" s="10">
        <v>0.26450000000000001</v>
      </c>
      <c r="CG128">
        <v>470</v>
      </c>
      <c r="CH128" s="13">
        <v>765</v>
      </c>
      <c r="CI128" s="13">
        <v>765</v>
      </c>
      <c r="CJ128">
        <v>0</v>
      </c>
      <c r="CK128">
        <v>115</v>
      </c>
      <c r="CL128">
        <v>0.60000002384185791</v>
      </c>
      <c r="CM128" s="1">
        <v>13.399999618530273</v>
      </c>
      <c r="CR128">
        <v>4190.59716796875</v>
      </c>
      <c r="CS128">
        <v>1.2836745781896752E-6</v>
      </c>
      <c r="CT128">
        <v>0.6029776930809021</v>
      </c>
    </row>
    <row r="129" spans="1:98" x14ac:dyDescent="0.3">
      <c r="A129" s="4">
        <v>8</v>
      </c>
      <c r="B129" s="6">
        <v>1360</v>
      </c>
      <c r="C129" s="5">
        <v>26.89</v>
      </c>
      <c r="D129">
        <v>2</v>
      </c>
      <c r="E129">
        <v>2</v>
      </c>
      <c r="F129">
        <v>911</v>
      </c>
      <c r="G129" s="12">
        <v>533.4</v>
      </c>
      <c r="H129" s="5">
        <v>8.1199999999999992</v>
      </c>
      <c r="I129" s="5">
        <v>18.170000000000002</v>
      </c>
      <c r="J129" s="5">
        <v>28</v>
      </c>
      <c r="K129" s="5">
        <f t="shared" si="25"/>
        <v>13.145</v>
      </c>
      <c r="L129" s="5">
        <f t="shared" si="26"/>
        <v>10.050000000000002</v>
      </c>
      <c r="M129" s="5">
        <f t="shared" si="27"/>
        <v>14.855</v>
      </c>
      <c r="N129" s="13">
        <v>1270.69</v>
      </c>
      <c r="O129" s="17">
        <f t="shared" si="28"/>
        <v>7.7822805930120594E-6</v>
      </c>
      <c r="P129">
        <f t="shared" si="29"/>
        <v>1.3794171410060302E-3</v>
      </c>
      <c r="Q129" s="11">
        <f t="shared" si="30"/>
        <v>1288.2154824104055</v>
      </c>
      <c r="R129" s="15">
        <f t="shared" si="31"/>
        <v>17.525482410405402</v>
      </c>
      <c r="S129" s="16">
        <f t="shared" si="32"/>
        <v>1.3604464974767416</v>
      </c>
      <c r="V129" s="14">
        <v>0.1</v>
      </c>
      <c r="W129" s="9">
        <v>0.86</v>
      </c>
      <c r="X129" s="6">
        <v>1400</v>
      </c>
      <c r="AC129" s="5">
        <v>18.444821838840252</v>
      </c>
      <c r="AE129">
        <v>3</v>
      </c>
      <c r="AG129" s="13"/>
      <c r="AH129" s="13"/>
      <c r="AI129" s="10"/>
      <c r="AJ129" s="13">
        <v>838</v>
      </c>
      <c r="AK129" s="13">
        <v>838</v>
      </c>
      <c r="AL129" s="10">
        <v>2.4124361449905818E-2</v>
      </c>
      <c r="AM129" s="1">
        <v>13.800000190734863</v>
      </c>
      <c r="AN129" s="2">
        <v>45</v>
      </c>
      <c r="AO129" s="3">
        <v>4.3400001525878906</v>
      </c>
      <c r="AP129" s="3">
        <v>4.3400001525878906</v>
      </c>
      <c r="AR129" s="1">
        <v>-8.99</v>
      </c>
      <c r="AS129" s="1">
        <v>-6</v>
      </c>
      <c r="AT129" s="1">
        <v>-5.99</v>
      </c>
      <c r="AU129">
        <v>3</v>
      </c>
      <c r="AV129" s="7">
        <v>0.74317148637665587</v>
      </c>
      <c r="AW129" s="3">
        <v>4.3400001525878906</v>
      </c>
      <c r="AX129" s="7">
        <v>0.32954867653007236</v>
      </c>
      <c r="AZ129" s="10">
        <v>0.25682851362334363</v>
      </c>
      <c r="BB129" s="10"/>
      <c r="CD129" s="10">
        <v>0.27</v>
      </c>
      <c r="CE129" s="10">
        <v>4.8783282876505116E-2</v>
      </c>
      <c r="CF129" s="10">
        <v>0.24210000000000001</v>
      </c>
      <c r="CG129">
        <v>530</v>
      </c>
      <c r="CH129" s="13">
        <v>838</v>
      </c>
      <c r="CI129" s="13">
        <v>838</v>
      </c>
      <c r="CJ129">
        <v>0</v>
      </c>
      <c r="CK129">
        <v>120</v>
      </c>
      <c r="CL129">
        <v>0.60000002384185791</v>
      </c>
      <c r="CM129" s="1">
        <v>13.800000190734863</v>
      </c>
      <c r="CR129">
        <v>4190.63623046875</v>
      </c>
      <c r="CS129">
        <v>1.2784099681084626E-6</v>
      </c>
      <c r="CT129">
        <v>0.60320752859115601</v>
      </c>
    </row>
    <row r="130" spans="1:98" x14ac:dyDescent="0.3">
      <c r="A130" s="4">
        <v>9</v>
      </c>
      <c r="B130" s="6">
        <v>1360</v>
      </c>
      <c r="C130" s="5">
        <v>26.96</v>
      </c>
      <c r="D130">
        <v>2</v>
      </c>
      <c r="E130">
        <v>2</v>
      </c>
      <c r="F130">
        <v>993</v>
      </c>
      <c r="G130" s="12">
        <v>590.20000000000005</v>
      </c>
      <c r="H130" s="5">
        <v>8.1300000000000008</v>
      </c>
      <c r="I130" s="5">
        <v>18.190000000000001</v>
      </c>
      <c r="J130" s="5">
        <v>28.01</v>
      </c>
      <c r="K130" s="5">
        <f t="shared" si="25"/>
        <v>13.16</v>
      </c>
      <c r="L130" s="5">
        <f t="shared" si="26"/>
        <v>10.06</v>
      </c>
      <c r="M130" s="5">
        <f t="shared" si="27"/>
        <v>14.850000000000001</v>
      </c>
      <c r="N130" s="13">
        <v>1388.86</v>
      </c>
      <c r="O130" s="17">
        <f t="shared" si="28"/>
        <v>7.5037123651733814E-6</v>
      </c>
      <c r="P130">
        <f t="shared" si="29"/>
        <v>1.3791364104253482E-3</v>
      </c>
      <c r="Q130" s="11">
        <f t="shared" si="30"/>
        <v>1460.6867607728877</v>
      </c>
      <c r="R130" s="15">
        <f t="shared" si="31"/>
        <v>71.826760772887837</v>
      </c>
      <c r="S130" s="16">
        <f t="shared" si="32"/>
        <v>4.9173281159118893</v>
      </c>
      <c r="V130" s="14">
        <v>0.1</v>
      </c>
      <c r="W130" s="9">
        <v>0.86</v>
      </c>
      <c r="X130" s="6">
        <v>1400</v>
      </c>
      <c r="AC130" s="5">
        <v>23.52978477203056</v>
      </c>
      <c r="AE130">
        <v>3</v>
      </c>
      <c r="AG130" s="13"/>
      <c r="AH130" s="13"/>
      <c r="AI130" s="10"/>
      <c r="AJ130" s="13">
        <v>799</v>
      </c>
      <c r="AK130" s="13">
        <v>799</v>
      </c>
      <c r="AL130" s="10">
        <v>-3.5350364611001051E-2</v>
      </c>
      <c r="AM130" s="1">
        <v>16.799999237060547</v>
      </c>
      <c r="AN130" s="2">
        <v>59</v>
      </c>
      <c r="AO130" s="3">
        <v>7.0399999618530273</v>
      </c>
      <c r="AP130" s="3">
        <v>7.0399999618530273</v>
      </c>
      <c r="AR130" s="1">
        <v>-14.91</v>
      </c>
      <c r="AS130" s="1">
        <v>-10.020000000000001</v>
      </c>
      <c r="AT130" s="1">
        <v>-9.8999999999999986</v>
      </c>
      <c r="AU130">
        <v>3</v>
      </c>
      <c r="AV130" s="7">
        <v>0.59873532723943157</v>
      </c>
      <c r="AW130" s="3">
        <v>7.0399999618530273</v>
      </c>
      <c r="AX130" s="7">
        <v>0.38936615632279226</v>
      </c>
      <c r="AZ130" s="10">
        <v>0.40126467276056865</v>
      </c>
      <c r="BB130" s="10"/>
      <c r="CD130" s="10">
        <v>0.38</v>
      </c>
      <c r="CE130" s="10">
        <v>5.595966515939118E-2</v>
      </c>
      <c r="CF130" s="10">
        <v>0.41889999999999999</v>
      </c>
      <c r="CG130">
        <v>355</v>
      </c>
      <c r="CH130" s="13">
        <v>799</v>
      </c>
      <c r="CI130" s="13">
        <v>799</v>
      </c>
      <c r="CJ130">
        <v>0</v>
      </c>
      <c r="CK130">
        <v>69</v>
      </c>
      <c r="CL130">
        <v>0.20000000298023224</v>
      </c>
      <c r="CM130" s="1">
        <v>16.799999237060547</v>
      </c>
      <c r="CR130">
        <v>4191.15966796875</v>
      </c>
      <c r="CS130">
        <v>1.2063733265677001E-6</v>
      </c>
      <c r="CT130">
        <v>0.60644638538360596</v>
      </c>
    </row>
    <row r="131" spans="1:98" x14ac:dyDescent="0.3">
      <c r="A131" s="4">
        <v>10</v>
      </c>
      <c r="B131" s="6">
        <v>1360</v>
      </c>
      <c r="C131" s="5">
        <v>27.3</v>
      </c>
      <c r="D131">
        <v>2</v>
      </c>
      <c r="E131">
        <v>2</v>
      </c>
      <c r="F131">
        <v>1040</v>
      </c>
      <c r="G131" s="12">
        <v>619.29999999999995</v>
      </c>
      <c r="H131" s="5">
        <v>17.010000000000002</v>
      </c>
      <c r="I131" s="5">
        <v>19.03</v>
      </c>
      <c r="J131" s="5">
        <v>28.18</v>
      </c>
      <c r="K131" s="5">
        <f t="shared" si="25"/>
        <v>18.020000000000003</v>
      </c>
      <c r="L131" s="5">
        <f t="shared" si="26"/>
        <v>2.0199999999999996</v>
      </c>
      <c r="M131" s="5">
        <f t="shared" si="27"/>
        <v>10.159999999999997</v>
      </c>
      <c r="N131" s="13">
        <v>1383.65</v>
      </c>
      <c r="O131" s="17">
        <f t="shared" si="28"/>
        <v>4.396658667896619E-6</v>
      </c>
      <c r="P131">
        <f t="shared" si="29"/>
        <v>1.379524484821265E-3</v>
      </c>
      <c r="Q131" s="11">
        <f t="shared" si="30"/>
        <v>1383.6469064378678</v>
      </c>
      <c r="R131" s="15">
        <f t="shared" si="31"/>
        <v>3.093562132335137E-3</v>
      </c>
      <c r="S131" s="16">
        <f t="shared" si="32"/>
        <v>2.2358031648295196E-4</v>
      </c>
      <c r="V131" s="14">
        <v>0.1</v>
      </c>
      <c r="W131" s="9">
        <v>0.86</v>
      </c>
      <c r="X131" s="6">
        <v>1400</v>
      </c>
      <c r="AC131" s="5">
        <v>23.853033486027641</v>
      </c>
      <c r="AE131">
        <v>3</v>
      </c>
      <c r="AG131" s="13"/>
      <c r="AH131" s="13"/>
      <c r="AI131" s="10"/>
      <c r="AJ131" s="13">
        <v>932</v>
      </c>
      <c r="AK131" s="13">
        <v>932</v>
      </c>
      <c r="AL131" s="10">
        <v>-5.7491024927946666E-2</v>
      </c>
      <c r="AM131" s="1">
        <v>17.100000381469727</v>
      </c>
      <c r="AN131" s="2">
        <v>58</v>
      </c>
      <c r="AO131" s="3">
        <v>7.0199999809265137</v>
      </c>
      <c r="AP131" s="3">
        <v>7.0199999809265137</v>
      </c>
      <c r="AR131" s="1">
        <v>-14.795000000000002</v>
      </c>
      <c r="AS131" s="1">
        <v>-10.130000000000001</v>
      </c>
      <c r="AT131" s="1">
        <v>-9.73</v>
      </c>
      <c r="AU131">
        <v>3</v>
      </c>
      <c r="AV131" s="7">
        <v>0.62068321151928019</v>
      </c>
      <c r="AW131" s="3">
        <v>7.0199999809265137</v>
      </c>
      <c r="AX131" s="7">
        <v>0.3807872158099454</v>
      </c>
      <c r="AZ131" s="10">
        <v>0.37931678848071981</v>
      </c>
      <c r="BB131" s="10"/>
      <c r="CD131" s="10">
        <v>0.34</v>
      </c>
      <c r="CE131" s="10">
        <v>0.1156376131785876</v>
      </c>
      <c r="CF131" s="10">
        <v>0.37409999999999999</v>
      </c>
      <c r="CG131">
        <v>415</v>
      </c>
      <c r="CH131" s="13">
        <v>932</v>
      </c>
      <c r="CI131" s="13">
        <v>932</v>
      </c>
      <c r="CJ131">
        <v>0</v>
      </c>
      <c r="CK131">
        <v>79</v>
      </c>
      <c r="CL131">
        <v>0.30000001192092896</v>
      </c>
      <c r="CM131" s="1">
        <v>17.100000381469727</v>
      </c>
      <c r="CR131">
        <v>4191.17236328125</v>
      </c>
      <c r="CS131">
        <v>1.2045368293911451E-6</v>
      </c>
      <c r="CT131">
        <v>0.60653138160705566</v>
      </c>
    </row>
    <row r="132" spans="1:98" x14ac:dyDescent="0.3">
      <c r="A132" s="4">
        <v>10</v>
      </c>
      <c r="B132" s="6">
        <v>1360</v>
      </c>
      <c r="C132" s="5">
        <v>23.73</v>
      </c>
      <c r="D132">
        <v>2</v>
      </c>
      <c r="E132">
        <v>2</v>
      </c>
      <c r="F132">
        <v>1064</v>
      </c>
      <c r="G132" s="12">
        <v>638.6</v>
      </c>
      <c r="H132" s="5">
        <v>8.06</v>
      </c>
      <c r="I132" s="5">
        <v>13.98</v>
      </c>
      <c r="J132" s="5">
        <v>24.94</v>
      </c>
      <c r="K132" s="5">
        <f t="shared" si="25"/>
        <v>11.02</v>
      </c>
      <c r="L132" s="5">
        <f t="shared" si="26"/>
        <v>5.92</v>
      </c>
      <c r="M132" s="5">
        <f t="shared" si="27"/>
        <v>13.920000000000002</v>
      </c>
      <c r="N132" s="13">
        <v>1604.46</v>
      </c>
      <c r="O132" s="17">
        <f t="shared" si="28"/>
        <v>6.6182530301879616E-6</v>
      </c>
      <c r="P132">
        <f t="shared" si="29"/>
        <v>1.3794042866034689E-3</v>
      </c>
      <c r="Q132" s="11">
        <f t="shared" si="30"/>
        <v>1633.5972148718993</v>
      </c>
      <c r="R132" s="15">
        <f t="shared" si="31"/>
        <v>29.137214871899232</v>
      </c>
      <c r="S132" s="16">
        <f t="shared" si="32"/>
        <v>1.7836229522577907</v>
      </c>
      <c r="V132" s="14">
        <v>0.1</v>
      </c>
      <c r="W132" s="9">
        <v>0.86</v>
      </c>
      <c r="X132" s="6">
        <v>1400</v>
      </c>
      <c r="AC132" s="5">
        <v>24.125186003858001</v>
      </c>
      <c r="AE132">
        <v>3</v>
      </c>
      <c r="AG132" s="13"/>
      <c r="AH132" s="13"/>
      <c r="AI132" s="10"/>
      <c r="AJ132" s="13">
        <v>1084</v>
      </c>
      <c r="AK132" s="13">
        <v>1084</v>
      </c>
      <c r="AL132" s="10">
        <v>-3.9449898982738429E-2</v>
      </c>
      <c r="AM132" s="1">
        <v>17.299999237060547</v>
      </c>
      <c r="AN132" s="2">
        <v>57</v>
      </c>
      <c r="AO132" s="3">
        <v>7</v>
      </c>
      <c r="AP132" s="3">
        <v>7</v>
      </c>
      <c r="AR132" s="1">
        <v>-14.774999999999999</v>
      </c>
      <c r="AS132" s="1">
        <v>-10.030000000000001</v>
      </c>
      <c r="AT132" s="1">
        <v>-9.759999999999998</v>
      </c>
      <c r="AU132">
        <v>4</v>
      </c>
      <c r="AV132" s="7">
        <v>0.64206832332438379</v>
      </c>
      <c r="AW132" s="3">
        <v>7</v>
      </c>
      <c r="AX132" s="7">
        <v>0.37355574841957984</v>
      </c>
      <c r="AZ132" s="10">
        <v>0.35793167667561632</v>
      </c>
      <c r="BB132" s="10"/>
      <c r="CD132" s="10">
        <v>0.33</v>
      </c>
      <c r="CE132" s="10">
        <v>8.4641444471564548E-2</v>
      </c>
      <c r="CF132" s="10">
        <v>0.33550000000000002</v>
      </c>
      <c r="CG132">
        <v>475</v>
      </c>
      <c r="CH132" s="13">
        <v>1084</v>
      </c>
      <c r="CI132" s="13">
        <v>1084</v>
      </c>
      <c r="CJ132">
        <v>0</v>
      </c>
      <c r="CK132">
        <v>93</v>
      </c>
      <c r="CL132">
        <v>0.40000000596046448</v>
      </c>
      <c r="CM132" s="1">
        <v>17.299999237060547</v>
      </c>
      <c r="CR132">
        <v>4191.16552734375</v>
      </c>
      <c r="CS132">
        <v>1.2055379556841217E-6</v>
      </c>
      <c r="CT132">
        <v>0.60648500919342041</v>
      </c>
    </row>
    <row r="133" spans="1:98" x14ac:dyDescent="0.3">
      <c r="A133" s="4">
        <v>10</v>
      </c>
      <c r="B133" s="6">
        <v>1360</v>
      </c>
      <c r="C133" s="5">
        <v>26.41</v>
      </c>
      <c r="D133">
        <v>2</v>
      </c>
      <c r="E133">
        <v>2</v>
      </c>
      <c r="F133">
        <v>1065</v>
      </c>
      <c r="G133" s="12">
        <v>637.5</v>
      </c>
      <c r="H133" s="5">
        <v>15</v>
      </c>
      <c r="I133" s="5">
        <v>17.27</v>
      </c>
      <c r="J133" s="5">
        <v>27.56</v>
      </c>
      <c r="K133" s="5">
        <f t="shared" si="25"/>
        <v>16.134999999999998</v>
      </c>
      <c r="L133" s="5">
        <f t="shared" si="26"/>
        <v>2.2699999999999996</v>
      </c>
      <c r="M133" s="5">
        <f t="shared" si="27"/>
        <v>11.425000000000001</v>
      </c>
      <c r="N133" s="13">
        <v>1554.9</v>
      </c>
      <c r="O133" s="17">
        <f t="shared" si="28"/>
        <v>4.6024309039323056E-6</v>
      </c>
      <c r="P133">
        <f t="shared" si="29"/>
        <v>1.3794759383002899E-3</v>
      </c>
      <c r="Q133" s="11">
        <f t="shared" si="30"/>
        <v>1571.2977911473968</v>
      </c>
      <c r="R133" s="15">
        <f t="shared" si="31"/>
        <v>16.397791147396674</v>
      </c>
      <c r="S133" s="16">
        <f t="shared" si="32"/>
        <v>1.0435826512186885</v>
      </c>
      <c r="V133" s="14">
        <v>0.1</v>
      </c>
      <c r="W133" s="9">
        <v>0.86</v>
      </c>
      <c r="X133" s="6">
        <v>1400</v>
      </c>
      <c r="AC133" s="5">
        <v>24.445174794002469</v>
      </c>
      <c r="AE133">
        <v>3</v>
      </c>
      <c r="AG133" s="13"/>
      <c r="AH133" s="13"/>
      <c r="AI133" s="10"/>
      <c r="AJ133" s="13">
        <v>1234</v>
      </c>
      <c r="AK133" s="13">
        <v>1234</v>
      </c>
      <c r="AL133" s="10">
        <v>-2.8874076289260198E-2</v>
      </c>
      <c r="AM133" s="1">
        <v>17.5</v>
      </c>
      <c r="AN133" s="2">
        <v>57</v>
      </c>
      <c r="AO133" s="3">
        <v>7.0199999809265137</v>
      </c>
      <c r="AP133" s="3">
        <v>7.0199999809265137</v>
      </c>
      <c r="AR133" s="1">
        <v>-14.855</v>
      </c>
      <c r="AS133" s="1">
        <v>-10.050000000000002</v>
      </c>
      <c r="AT133" s="1">
        <v>-9.8299999999999983</v>
      </c>
      <c r="AU133">
        <v>4</v>
      </c>
      <c r="AV133" s="7">
        <v>0.66144521847642568</v>
      </c>
      <c r="AW133" s="3">
        <v>7.0199999809265137</v>
      </c>
      <c r="AX133" s="7">
        <v>0.36749335736554128</v>
      </c>
      <c r="AZ133" s="10">
        <v>0.33855478152357454</v>
      </c>
      <c r="BB133" s="10"/>
      <c r="CD133" s="10">
        <v>0.32</v>
      </c>
      <c r="CE133" s="10">
        <v>5.7983692261170429E-2</v>
      </c>
      <c r="CF133" s="10">
        <v>0.30630000000000002</v>
      </c>
      <c r="CG133">
        <v>535</v>
      </c>
      <c r="CH133" s="13">
        <v>1234</v>
      </c>
      <c r="CI133" s="13">
        <v>1234</v>
      </c>
      <c r="CJ133">
        <v>0</v>
      </c>
      <c r="CK133">
        <v>106</v>
      </c>
      <c r="CL133">
        <v>0.5</v>
      </c>
      <c r="CM133" s="1">
        <v>17.5</v>
      </c>
      <c r="CR133">
        <v>4191.1630859375</v>
      </c>
      <c r="CS133">
        <v>1.2058719676133478E-6</v>
      </c>
      <c r="CT133">
        <v>0.60646957159042358</v>
      </c>
    </row>
    <row r="134" spans="1:98" x14ac:dyDescent="0.3">
      <c r="A134" s="4">
        <v>10</v>
      </c>
      <c r="B134" s="6">
        <v>1360</v>
      </c>
      <c r="C134" s="5">
        <v>27.7</v>
      </c>
      <c r="D134">
        <v>2</v>
      </c>
      <c r="E134">
        <v>2</v>
      </c>
      <c r="F134">
        <v>1065</v>
      </c>
      <c r="G134" s="12">
        <v>635</v>
      </c>
      <c r="H134" s="5">
        <v>19</v>
      </c>
      <c r="I134" s="5">
        <v>20.78</v>
      </c>
      <c r="J134" s="5">
        <v>27.95</v>
      </c>
      <c r="K134" s="5">
        <f t="shared" si="25"/>
        <v>19.89</v>
      </c>
      <c r="L134" s="5">
        <f t="shared" si="26"/>
        <v>1.7800000000000011</v>
      </c>
      <c r="M134" s="5">
        <f t="shared" si="27"/>
        <v>8.0599999999999987</v>
      </c>
      <c r="N134" s="13">
        <v>1214.8800000000001</v>
      </c>
      <c r="O134" s="17">
        <f t="shared" si="28"/>
        <v>4.2796435006117368E-6</v>
      </c>
      <c r="P134">
        <f t="shared" si="29"/>
        <v>1.3796832054397059E-3</v>
      </c>
      <c r="Q134" s="11">
        <f t="shared" si="30"/>
        <v>1169.8205348309</v>
      </c>
      <c r="R134" s="15">
        <f t="shared" si="31"/>
        <v>45.059465169100122</v>
      </c>
      <c r="S134" s="16">
        <f t="shared" si="32"/>
        <v>3.8518271672854043</v>
      </c>
      <c r="V134" s="14">
        <v>0.1</v>
      </c>
      <c r="W134" s="9">
        <v>0.86</v>
      </c>
      <c r="X134" s="6">
        <v>1400</v>
      </c>
      <c r="AC134" s="5">
        <v>24.714738966428055</v>
      </c>
      <c r="AE134">
        <v>3</v>
      </c>
      <c r="AG134" s="13"/>
      <c r="AH134" s="13"/>
      <c r="AI134" s="10"/>
      <c r="AJ134" s="13">
        <v>1373</v>
      </c>
      <c r="AK134" s="13">
        <v>1373</v>
      </c>
      <c r="AL134" s="10">
        <v>-1.1419437524300413E-2</v>
      </c>
      <c r="AM134" s="1">
        <v>17.700000762939453</v>
      </c>
      <c r="AN134" s="2">
        <v>56</v>
      </c>
      <c r="AO134" s="3">
        <v>7.0399999618530273</v>
      </c>
      <c r="AP134" s="3">
        <v>7.0399999618530273</v>
      </c>
      <c r="AR134" s="1">
        <v>-14.850000000000001</v>
      </c>
      <c r="AS134" s="1">
        <v>-10.06</v>
      </c>
      <c r="AT134" s="1">
        <v>-9.82</v>
      </c>
      <c r="AU134">
        <v>4</v>
      </c>
      <c r="AV134" s="7">
        <v>0.68038202934809833</v>
      </c>
      <c r="AW134" s="3">
        <v>7.0399999618530273</v>
      </c>
      <c r="AX134" s="7">
        <v>0.36263403362355001</v>
      </c>
      <c r="AZ134" s="10">
        <v>0.31961797065190167</v>
      </c>
      <c r="BB134" s="10"/>
      <c r="CD134" s="10">
        <v>0.3</v>
      </c>
      <c r="CE134" s="10">
        <v>6.5393235506338951E-2</v>
      </c>
      <c r="CF134" s="10">
        <v>0.28539999999999999</v>
      </c>
      <c r="CG134">
        <v>590</v>
      </c>
      <c r="CH134" s="13">
        <v>1373</v>
      </c>
      <c r="CI134" s="13">
        <v>1373</v>
      </c>
      <c r="CJ134">
        <v>0</v>
      </c>
      <c r="CK134">
        <v>117</v>
      </c>
      <c r="CL134">
        <v>0.60000002384185791</v>
      </c>
      <c r="CM134" s="1">
        <v>17.700000762939453</v>
      </c>
      <c r="CR134">
        <v>4191.16650390625</v>
      </c>
      <c r="CS134">
        <v>1.2053710634063464E-6</v>
      </c>
      <c r="CT134">
        <v>0.60649275779724121</v>
      </c>
    </row>
    <row r="135" spans="1:98" x14ac:dyDescent="0.3">
      <c r="B135" s="6"/>
      <c r="C135" s="5"/>
      <c r="G135" s="12"/>
      <c r="H135" s="5"/>
      <c r="I135" s="5"/>
      <c r="J135" s="5"/>
      <c r="K135" s="5"/>
      <c r="L135" s="5"/>
      <c r="M135" s="5"/>
      <c r="N135" s="13"/>
      <c r="V135" s="14"/>
      <c r="W135" s="9"/>
      <c r="X135" s="6"/>
      <c r="AC135" s="9"/>
      <c r="AJ135" s="13"/>
      <c r="AK135" s="13"/>
      <c r="AL135" s="10"/>
      <c r="AM135" s="1"/>
      <c r="AN135" s="2"/>
      <c r="AO135" s="3"/>
      <c r="AP135" s="3"/>
      <c r="AR135" s="1"/>
      <c r="AS135" s="1"/>
      <c r="CF135" s="10"/>
      <c r="CH135" s="13"/>
      <c r="CI135" s="13"/>
      <c r="CM135" s="1"/>
    </row>
    <row r="136" spans="1:98" x14ac:dyDescent="0.3">
      <c r="B136" s="6"/>
      <c r="C136" s="5"/>
      <c r="G136" s="12"/>
      <c r="H136" s="5"/>
      <c r="I136" s="5"/>
      <c r="J136" s="5"/>
      <c r="K136" s="5"/>
      <c r="L136" s="5"/>
      <c r="M136" s="5"/>
      <c r="N136" s="13"/>
      <c r="S136" s="9">
        <f>MEDIAN(S139:S183)</f>
        <v>2.7061207853260827</v>
      </c>
      <c r="U136">
        <v>-0.16107807409666836</v>
      </c>
      <c r="V136" s="14"/>
      <c r="W136" s="9"/>
      <c r="X136" s="6"/>
      <c r="AC136" s="9"/>
      <c r="AJ136" s="13"/>
      <c r="AK136" s="13"/>
      <c r="AL136" s="10"/>
      <c r="AM136" s="1"/>
      <c r="AN136" s="2"/>
      <c r="AO136" s="3"/>
      <c r="AP136" s="3"/>
      <c r="AR136" s="1"/>
      <c r="AS136" s="1"/>
      <c r="CF136" s="10"/>
      <c r="CH136" s="13"/>
      <c r="CI136" s="13"/>
      <c r="CM136" s="1"/>
    </row>
    <row r="137" spans="1:98" x14ac:dyDescent="0.3">
      <c r="B137" s="6"/>
      <c r="C137" s="5"/>
      <c r="G137" s="12"/>
      <c r="H137" s="5"/>
      <c r="I137" s="5"/>
      <c r="J137" s="5"/>
      <c r="K137" s="5"/>
      <c r="L137" s="5"/>
      <c r="M137" s="5"/>
      <c r="N137" s="13"/>
      <c r="P137" s="21">
        <f>AVERAGE(P139:P183)</f>
        <v>5.6336239325425955E-6</v>
      </c>
      <c r="Q137" s="18">
        <v>0.99876803222442356</v>
      </c>
      <c r="R137" s="18">
        <v>5.5741670872277601E-9</v>
      </c>
      <c r="S137" s="18">
        <v>1.42454024042896</v>
      </c>
      <c r="T137" s="18">
        <v>0</v>
      </c>
      <c r="U137" s="18">
        <v>0.21540840951078877</v>
      </c>
      <c r="V137" s="14"/>
      <c r="W137" s="9"/>
      <c r="X137" s="6"/>
      <c r="AC137" s="9"/>
      <c r="AJ137" s="13"/>
      <c r="AK137" s="13"/>
      <c r="AL137" s="10"/>
      <c r="AM137" s="1"/>
      <c r="AN137" s="2"/>
      <c r="AO137" s="3"/>
      <c r="AP137" s="3"/>
      <c r="AR137" s="1"/>
      <c r="AS137" s="1"/>
      <c r="CF137" s="10"/>
      <c r="CH137" s="13"/>
      <c r="CI137" s="13"/>
      <c r="CM137" s="1"/>
    </row>
    <row r="138" spans="1:98" x14ac:dyDescent="0.3">
      <c r="A138" t="s">
        <v>50</v>
      </c>
      <c r="B138" s="6"/>
      <c r="C138" s="5"/>
      <c r="G138" s="12"/>
      <c r="H138" s="5"/>
      <c r="I138" s="5"/>
      <c r="J138" s="5"/>
      <c r="K138" s="5"/>
      <c r="L138" s="5"/>
      <c r="M138" s="5"/>
      <c r="N138" s="13"/>
      <c r="O138" s="17">
        <f>_xlfn.STDEV.P(O139:O183)</f>
        <v>2.7648128909872965E-7</v>
      </c>
      <c r="P138" s="17">
        <f>_xlfn.STDEV.P(P139:P183)</f>
        <v>2.7653054167804919E-7</v>
      </c>
      <c r="S138" s="19">
        <f>AVERAGE(S139:S183)</f>
        <v>3.7223382241192415</v>
      </c>
      <c r="T138">
        <f>MAX(S139:S183)</f>
        <v>12.657996394758264</v>
      </c>
      <c r="V138" s="14"/>
      <c r="W138" s="9"/>
      <c r="X138" s="6"/>
      <c r="AC138" s="9"/>
      <c r="AJ138" s="13"/>
      <c r="AK138" s="13"/>
      <c r="AL138" s="10"/>
      <c r="AM138" s="1"/>
      <c r="AN138" s="2"/>
      <c r="AO138" s="3"/>
      <c r="AP138" s="3"/>
      <c r="AR138" s="1"/>
      <c r="AS138" s="1"/>
      <c r="CF138" s="10"/>
      <c r="CH138" s="13"/>
      <c r="CI138" s="13"/>
      <c r="CM138" s="1"/>
    </row>
    <row r="139" spans="1:98" x14ac:dyDescent="0.3">
      <c r="A139" s="4">
        <v>1.99</v>
      </c>
      <c r="B139" s="6">
        <v>1360</v>
      </c>
      <c r="C139" s="5">
        <v>22.62</v>
      </c>
      <c r="D139">
        <v>2</v>
      </c>
      <c r="E139">
        <v>4</v>
      </c>
      <c r="F139">
        <v>396</v>
      </c>
      <c r="G139" s="12">
        <v>176.3</v>
      </c>
      <c r="H139" s="5">
        <v>6.05</v>
      </c>
      <c r="I139" s="5">
        <v>18.989999999999998</v>
      </c>
      <c r="J139" s="5">
        <v>23.99</v>
      </c>
      <c r="K139" s="5">
        <f t="shared" ref="K139:K183" si="33">(H139+I139)/2</f>
        <v>12.52</v>
      </c>
      <c r="L139" s="5">
        <f t="shared" ref="L139:L183" si="34">-1*(H139-I139)</f>
        <v>12.939999999999998</v>
      </c>
      <c r="M139" s="5">
        <f t="shared" ref="M139:M183" si="35">-1*(K139-J139)</f>
        <v>11.469999999999999</v>
      </c>
      <c r="N139" s="13">
        <v>253.79</v>
      </c>
      <c r="O139" s="17">
        <f t="shared" ref="O139:O183" si="36">N139/(M139^$Q$137*B139*F139^$S$137*K139^$T$137*L139^$U$136)</f>
        <v>4.9120687258839889E-6</v>
      </c>
      <c r="P139" s="19">
        <f t="shared" ref="P139:P183" si="37">O139-L139^$U$137*$R$137</f>
        <v>4.9023926341591829E-6</v>
      </c>
      <c r="Q139" s="11">
        <f t="shared" ref="Q139:Q183" si="38">M139^$Q$137*B139*F139^$S$137*K139^$T$137*L139^$U$136*($P$137-L139^$U$137*$R$137)</f>
        <v>290.57038941658658</v>
      </c>
      <c r="R139" s="15">
        <f t="shared" ref="R139:R183" si="39">ABS(Q139-N139)</f>
        <v>36.780389416586587</v>
      </c>
      <c r="S139" s="16">
        <f t="shared" ref="S139:S183" si="40">ABS((1-N139/Q139)*100)</f>
        <v>12.657996394758264</v>
      </c>
      <c r="U139" s="13"/>
      <c r="V139" s="14">
        <v>0.01</v>
      </c>
      <c r="W139" s="9">
        <v>0.88</v>
      </c>
      <c r="X139" s="6">
        <v>1400</v>
      </c>
      <c r="AC139" s="5">
        <v>26.533799832153324</v>
      </c>
      <c r="AE139">
        <v>3</v>
      </c>
      <c r="AG139" s="13"/>
      <c r="AH139" s="13"/>
      <c r="AI139" s="10"/>
      <c r="AJ139" s="13">
        <v>964</v>
      </c>
      <c r="AK139" s="13">
        <v>964</v>
      </c>
      <c r="AL139" s="10">
        <v>-2.7414265763202605E-3</v>
      </c>
      <c r="AM139" s="1">
        <v>21.299999237060547</v>
      </c>
      <c r="AN139" s="2">
        <v>45</v>
      </c>
      <c r="AO139" s="3">
        <v>7.0399999618530273</v>
      </c>
      <c r="AP139" s="3">
        <v>7.0399999618530273</v>
      </c>
      <c r="AR139" s="1">
        <v>-9.4000000000000021</v>
      </c>
      <c r="AS139" s="1">
        <v>-4.5199999999999996</v>
      </c>
      <c r="AT139" s="1">
        <v>-7.1400000000000023</v>
      </c>
      <c r="AU139">
        <v>3</v>
      </c>
      <c r="AV139" s="7">
        <v>0.78000000000000036</v>
      </c>
      <c r="AW139" s="3">
        <v>7.0399999618530273</v>
      </c>
      <c r="AX139" s="7">
        <v>0.32552544395451505</v>
      </c>
      <c r="AZ139" s="10">
        <v>0.22</v>
      </c>
      <c r="CD139" s="10">
        <v>0.22</v>
      </c>
      <c r="CE139" s="10">
        <v>0</v>
      </c>
      <c r="CF139" s="10">
        <v>0.2019</v>
      </c>
      <c r="CG139">
        <v>555</v>
      </c>
      <c r="CH139" s="13">
        <v>964</v>
      </c>
      <c r="CI139" s="13">
        <v>964</v>
      </c>
      <c r="CJ139">
        <v>0</v>
      </c>
      <c r="CK139">
        <v>183</v>
      </c>
      <c r="CL139">
        <v>1</v>
      </c>
      <c r="CM139" s="1">
        <v>21.299999237060547</v>
      </c>
      <c r="CR139">
        <v>4192.29150390625</v>
      </c>
      <c r="CS139">
        <v>1.0415369615657255E-6</v>
      </c>
      <c r="CT139">
        <v>0.61466169357299805</v>
      </c>
    </row>
    <row r="140" spans="1:98" x14ac:dyDescent="0.3">
      <c r="A140" s="4">
        <v>1.98</v>
      </c>
      <c r="B140" s="6">
        <v>1360</v>
      </c>
      <c r="C140" s="5">
        <v>20.5</v>
      </c>
      <c r="D140">
        <v>2</v>
      </c>
      <c r="E140">
        <v>4</v>
      </c>
      <c r="F140">
        <v>396</v>
      </c>
      <c r="G140" s="12">
        <v>177</v>
      </c>
      <c r="H140" s="5">
        <v>6.04</v>
      </c>
      <c r="I140" s="5">
        <v>12.06</v>
      </c>
      <c r="J140" s="5">
        <v>23.88</v>
      </c>
      <c r="K140" s="5">
        <f t="shared" si="33"/>
        <v>9.0500000000000007</v>
      </c>
      <c r="L140" s="5">
        <f t="shared" si="34"/>
        <v>6.0200000000000005</v>
      </c>
      <c r="M140" s="5">
        <f t="shared" si="35"/>
        <v>14.829999999999998</v>
      </c>
      <c r="N140" s="13">
        <v>408.37</v>
      </c>
      <c r="O140" s="17">
        <f t="shared" si="36"/>
        <v>5.4059391825570057E-6</v>
      </c>
      <c r="P140" s="19">
        <f t="shared" si="37"/>
        <v>5.3977335583648687E-6</v>
      </c>
      <c r="Q140" s="11">
        <f t="shared" si="38"/>
        <v>424.94967053892719</v>
      </c>
      <c r="R140" s="15">
        <f t="shared" si="39"/>
        <v>16.579670538927189</v>
      </c>
      <c r="S140" s="16">
        <f t="shared" si="40"/>
        <v>3.9015609820100883</v>
      </c>
      <c r="V140" s="14">
        <v>0.01</v>
      </c>
      <c r="W140" s="9">
        <v>0.9</v>
      </c>
      <c r="X140" s="6">
        <v>1400</v>
      </c>
      <c r="AC140" s="5">
        <v>25.51309988937378</v>
      </c>
      <c r="AE140">
        <v>3</v>
      </c>
      <c r="AG140" s="13"/>
      <c r="AH140" s="13"/>
      <c r="AI140" s="10"/>
      <c r="AJ140" s="13">
        <v>741</v>
      </c>
      <c r="AK140" s="13">
        <v>741</v>
      </c>
      <c r="AL140" s="10">
        <v>-2.5634452704437205E-4</v>
      </c>
      <c r="AM140" s="1">
        <v>19.399999618530273</v>
      </c>
      <c r="AN140" s="2">
        <v>50</v>
      </c>
      <c r="AO140" s="3">
        <v>7.0500001907348633</v>
      </c>
      <c r="AP140" s="3">
        <v>7.0500001907348633</v>
      </c>
      <c r="AR140" s="1">
        <v>-10.030000000000001</v>
      </c>
      <c r="AS140" s="1">
        <v>-1.8999999999999986</v>
      </c>
      <c r="AT140" s="1">
        <v>-9.0800000000000018</v>
      </c>
      <c r="AU140">
        <v>3</v>
      </c>
      <c r="AV140" s="7">
        <v>0.71</v>
      </c>
      <c r="AW140" s="3">
        <v>7.0500001907348633</v>
      </c>
      <c r="AX140" s="7">
        <v>0.34627582832857295</v>
      </c>
      <c r="AZ140" s="10">
        <v>0.28999999999999998</v>
      </c>
      <c r="CD140" s="10">
        <v>0.28999999999999998</v>
      </c>
      <c r="CE140" s="10">
        <v>0</v>
      </c>
      <c r="CF140" s="10">
        <v>0.26590000000000003</v>
      </c>
      <c r="CG140">
        <v>370</v>
      </c>
      <c r="CH140" s="13">
        <v>741</v>
      </c>
      <c r="CI140" s="13">
        <v>741</v>
      </c>
      <c r="CJ140">
        <v>0</v>
      </c>
      <c r="CK140">
        <v>335</v>
      </c>
      <c r="CL140">
        <v>2.9000000953674316</v>
      </c>
      <c r="CM140" s="1">
        <v>19.399999618530273</v>
      </c>
      <c r="CR140">
        <v>4192.17822265625</v>
      </c>
      <c r="CS140">
        <v>1.0587235692582908E-6</v>
      </c>
      <c r="CT140">
        <v>0.61374247074127197</v>
      </c>
    </row>
    <row r="141" spans="1:98" x14ac:dyDescent="0.3">
      <c r="A141" s="4">
        <v>2.67</v>
      </c>
      <c r="B141" s="6">
        <v>1360</v>
      </c>
      <c r="C141" s="5">
        <v>22.33</v>
      </c>
      <c r="D141">
        <v>2</v>
      </c>
      <c r="E141">
        <v>4</v>
      </c>
      <c r="F141">
        <v>401</v>
      </c>
      <c r="G141" s="12">
        <v>180.9</v>
      </c>
      <c r="H141" s="5">
        <v>6.97</v>
      </c>
      <c r="I141" s="5">
        <v>11.98</v>
      </c>
      <c r="J141" s="5">
        <v>26.7</v>
      </c>
      <c r="K141" s="5">
        <f t="shared" si="33"/>
        <v>9.4749999999999996</v>
      </c>
      <c r="L141" s="5">
        <f t="shared" si="34"/>
        <v>5.0100000000000007</v>
      </c>
      <c r="M141" s="5">
        <f t="shared" si="35"/>
        <v>17.225000000000001</v>
      </c>
      <c r="N141" s="13">
        <v>504.39</v>
      </c>
      <c r="O141" s="17">
        <f t="shared" si="36"/>
        <v>5.4832221277615688E-6</v>
      </c>
      <c r="P141" s="19">
        <f t="shared" si="37"/>
        <v>5.4753347813736878E-6</v>
      </c>
      <c r="Q141" s="11">
        <f t="shared" si="38"/>
        <v>517.49960344009696</v>
      </c>
      <c r="R141" s="15">
        <f t="shared" si="39"/>
        <v>13.109603440096976</v>
      </c>
      <c r="S141" s="16">
        <f t="shared" si="40"/>
        <v>2.5332586446347838</v>
      </c>
      <c r="V141" s="14">
        <v>0.01</v>
      </c>
      <c r="W141" s="9">
        <v>0.9</v>
      </c>
      <c r="X141" s="6">
        <v>1400</v>
      </c>
      <c r="AC141" s="5">
        <v>26.136999912261963</v>
      </c>
      <c r="AE141">
        <v>3</v>
      </c>
      <c r="AG141" s="13"/>
      <c r="AH141" s="13"/>
      <c r="AI141" s="10"/>
      <c r="AJ141" s="13">
        <v>939</v>
      </c>
      <c r="AK141" s="13">
        <v>939</v>
      </c>
      <c r="AL141" s="10">
        <v>7.5215399306860498E-3</v>
      </c>
      <c r="AM141" s="1">
        <v>19.899999618530273</v>
      </c>
      <c r="AN141" s="2">
        <v>49</v>
      </c>
      <c r="AO141" s="3">
        <v>7.0300002098083496</v>
      </c>
      <c r="AP141" s="3">
        <v>7.0300002098083496</v>
      </c>
      <c r="AR141" s="1">
        <v>-9.9250000000000007</v>
      </c>
      <c r="AS141" s="1">
        <v>-2.1099999999999994</v>
      </c>
      <c r="AT141" s="1">
        <v>-8.870000000000001</v>
      </c>
      <c r="AU141">
        <v>3</v>
      </c>
      <c r="AV141" s="7">
        <v>0.77</v>
      </c>
      <c r="AW141" s="3">
        <v>7.0300002098083496</v>
      </c>
      <c r="AX141" s="7">
        <v>0.33277187464675539</v>
      </c>
      <c r="AZ141" s="10">
        <v>0.23</v>
      </c>
      <c r="CD141" s="10">
        <v>0.23</v>
      </c>
      <c r="CE141" s="10">
        <v>0</v>
      </c>
      <c r="CF141" s="10">
        <v>0.21920000000000001</v>
      </c>
      <c r="CG141">
        <v>460</v>
      </c>
      <c r="CH141" s="13">
        <v>939</v>
      </c>
      <c r="CI141" s="13">
        <v>939</v>
      </c>
      <c r="CJ141">
        <v>0</v>
      </c>
      <c r="CK141">
        <v>383</v>
      </c>
      <c r="CL141">
        <v>3.5999999046325684</v>
      </c>
      <c r="CM141" s="1">
        <v>19.899999618530273</v>
      </c>
      <c r="CR141">
        <v>4192.19580078125</v>
      </c>
      <c r="CS141">
        <v>1.0561042245171848E-6</v>
      </c>
      <c r="CT141">
        <v>0.61388146877288818</v>
      </c>
    </row>
    <row r="142" spans="1:98" x14ac:dyDescent="0.3">
      <c r="A142" s="4">
        <v>2.67</v>
      </c>
      <c r="B142" s="6">
        <v>1360</v>
      </c>
      <c r="C142" s="5">
        <v>22.98</v>
      </c>
      <c r="D142">
        <v>2</v>
      </c>
      <c r="E142">
        <v>4</v>
      </c>
      <c r="F142">
        <v>401</v>
      </c>
      <c r="G142" s="12">
        <v>180.4</v>
      </c>
      <c r="H142" s="5">
        <v>5.98</v>
      </c>
      <c r="I142" s="5">
        <v>16.16</v>
      </c>
      <c r="J142" s="5">
        <v>25.96</v>
      </c>
      <c r="K142" s="5">
        <f t="shared" si="33"/>
        <v>11.07</v>
      </c>
      <c r="L142" s="5">
        <f t="shared" si="34"/>
        <v>10.18</v>
      </c>
      <c r="M142" s="5">
        <f t="shared" si="35"/>
        <v>14.89</v>
      </c>
      <c r="N142" s="13">
        <v>430</v>
      </c>
      <c r="O142" s="17">
        <f t="shared" si="36"/>
        <v>6.0606887163659762E-6</v>
      </c>
      <c r="P142" s="19">
        <f t="shared" si="37"/>
        <v>6.0514999474727904E-6</v>
      </c>
      <c r="Q142" s="11">
        <f t="shared" si="38"/>
        <v>399.04823256116623</v>
      </c>
      <c r="R142" s="15">
        <f t="shared" si="39"/>
        <v>30.95176743883377</v>
      </c>
      <c r="S142" s="16">
        <f t="shared" si="40"/>
        <v>7.7563975763479842</v>
      </c>
      <c r="V142" s="14">
        <v>0.01</v>
      </c>
      <c r="W142" s="9">
        <v>0.9</v>
      </c>
      <c r="X142" s="6">
        <v>1400</v>
      </c>
      <c r="AC142" s="5">
        <v>26.545099855041506</v>
      </c>
      <c r="AE142">
        <v>3</v>
      </c>
      <c r="AG142" s="13"/>
      <c r="AH142" s="13"/>
      <c r="AI142" s="10"/>
      <c r="AJ142" s="13">
        <v>1148</v>
      </c>
      <c r="AK142" s="13">
        <v>1148</v>
      </c>
      <c r="AL142" s="10">
        <v>4.1021245331538392E-3</v>
      </c>
      <c r="AM142" s="1">
        <v>20.299999237060547</v>
      </c>
      <c r="AN142" s="2">
        <v>48</v>
      </c>
      <c r="AO142" s="3">
        <v>7.0500001907348633</v>
      </c>
      <c r="AP142" s="3">
        <v>7.0500001907348633</v>
      </c>
      <c r="AR142" s="1">
        <v>-9.9200000000000017</v>
      </c>
      <c r="AS142" s="1">
        <v>-2.1000000000000014</v>
      </c>
      <c r="AT142" s="1">
        <v>-8.870000000000001</v>
      </c>
      <c r="AU142">
        <v>3</v>
      </c>
      <c r="AV142" s="7">
        <v>0.81000000000000016</v>
      </c>
      <c r="AW142" s="3">
        <v>7.0500001907348633</v>
      </c>
      <c r="AX142" s="7">
        <v>0.32576563821009186</v>
      </c>
      <c r="AZ142" s="10">
        <v>0.19</v>
      </c>
      <c r="CD142" s="10">
        <v>0.19</v>
      </c>
      <c r="CE142" s="10">
        <v>0</v>
      </c>
      <c r="CF142" s="10">
        <v>0.20280000000000001</v>
      </c>
      <c r="CG142">
        <v>555</v>
      </c>
      <c r="CH142" s="13">
        <v>1148</v>
      </c>
      <c r="CI142" s="13">
        <v>1148</v>
      </c>
      <c r="CJ142">
        <v>0</v>
      </c>
      <c r="CK142">
        <v>470</v>
      </c>
      <c r="CL142">
        <v>5.1999998092651367</v>
      </c>
      <c r="CM142" s="1">
        <v>20.299999237060547</v>
      </c>
      <c r="CR142">
        <v>4192.1982421875</v>
      </c>
      <c r="CS142">
        <v>1.0556915412962553E-6</v>
      </c>
      <c r="CT142">
        <v>0.61390340328216553</v>
      </c>
    </row>
    <row r="143" spans="1:98" x14ac:dyDescent="0.3">
      <c r="A143" s="4">
        <v>3.39</v>
      </c>
      <c r="B143" s="6">
        <v>1360</v>
      </c>
      <c r="C143" s="5">
        <v>22.74</v>
      </c>
      <c r="D143">
        <v>2</v>
      </c>
      <c r="E143">
        <v>4</v>
      </c>
      <c r="F143">
        <v>518</v>
      </c>
      <c r="G143" s="12">
        <v>260.39999999999998</v>
      </c>
      <c r="H143" s="5">
        <v>5.98</v>
      </c>
      <c r="I143" s="5">
        <v>19.05</v>
      </c>
      <c r="J143" s="5">
        <v>24.03</v>
      </c>
      <c r="K143" s="5">
        <f t="shared" si="33"/>
        <v>12.515000000000001</v>
      </c>
      <c r="L143" s="5">
        <f t="shared" si="34"/>
        <v>13.07</v>
      </c>
      <c r="M143" s="5">
        <f t="shared" si="35"/>
        <v>11.515000000000001</v>
      </c>
      <c r="N143" s="13">
        <v>426.97</v>
      </c>
      <c r="O143" s="17">
        <f t="shared" si="36"/>
        <v>5.6238989283792302E-6</v>
      </c>
      <c r="P143" s="19">
        <f t="shared" si="37"/>
        <v>5.6142019789310067E-6</v>
      </c>
      <c r="Q143" s="11">
        <f t="shared" si="38"/>
        <v>426.97212993189896</v>
      </c>
      <c r="R143" s="15">
        <f t="shared" si="39"/>
        <v>2.1299318989349558E-3</v>
      </c>
      <c r="S143" s="16">
        <f t="shared" si="40"/>
        <v>4.9884565048730067E-4</v>
      </c>
      <c r="V143" s="14">
        <v>0.01</v>
      </c>
      <c r="W143" s="9">
        <v>0.9</v>
      </c>
      <c r="X143" s="6">
        <v>1400</v>
      </c>
      <c r="AC143" s="5">
        <v>27.101400045776369</v>
      </c>
      <c r="AE143">
        <v>3</v>
      </c>
      <c r="AG143" s="13"/>
      <c r="AH143" s="13"/>
      <c r="AI143" s="10"/>
      <c r="AJ143" s="13">
        <v>1439</v>
      </c>
      <c r="AK143" s="13">
        <v>1439</v>
      </c>
      <c r="AL143" s="10">
        <v>-6.0507266397745729E-3</v>
      </c>
      <c r="AM143" s="1">
        <v>20.700000762939453</v>
      </c>
      <c r="AN143" s="2">
        <v>45</v>
      </c>
      <c r="AO143" s="3">
        <v>6.8400001525878906</v>
      </c>
      <c r="AP143" s="3">
        <v>6.8400001525878906</v>
      </c>
      <c r="AR143" s="1">
        <v>-9.3900000000000041</v>
      </c>
      <c r="AS143" s="1">
        <v>-2.120000000000001</v>
      </c>
      <c r="AT143" s="1">
        <v>-8.3300000000000036</v>
      </c>
      <c r="AU143">
        <v>1</v>
      </c>
      <c r="AV143" s="7">
        <v>0.94000000000000006</v>
      </c>
      <c r="AW143" s="3">
        <v>6.8400001525878906</v>
      </c>
      <c r="AX143" s="7">
        <v>0.30599099620906489</v>
      </c>
      <c r="AZ143" s="10">
        <v>0.06</v>
      </c>
      <c r="CD143" s="10">
        <v>0.06</v>
      </c>
      <c r="CE143" s="10">
        <v>0</v>
      </c>
      <c r="CF143" s="10">
        <v>0.1114</v>
      </c>
      <c r="CG143">
        <v>645</v>
      </c>
      <c r="CH143" s="13">
        <v>1439</v>
      </c>
      <c r="CI143" s="13">
        <v>1439</v>
      </c>
      <c r="CJ143">
        <v>0</v>
      </c>
      <c r="CK143">
        <v>583</v>
      </c>
      <c r="CL143">
        <v>7.6999998092651367</v>
      </c>
      <c r="CM143" s="1">
        <v>20.700000762939453</v>
      </c>
      <c r="CR143">
        <v>4192.2041015625</v>
      </c>
      <c r="CS143">
        <v>1.0548669706622604E-6</v>
      </c>
      <c r="CT143">
        <v>0.61394727230072021</v>
      </c>
    </row>
    <row r="144" spans="1:98" x14ac:dyDescent="0.3">
      <c r="A144" s="4">
        <v>3.68</v>
      </c>
      <c r="B144" s="6">
        <v>1360</v>
      </c>
      <c r="C144" s="5">
        <v>23.36</v>
      </c>
      <c r="D144">
        <v>2</v>
      </c>
      <c r="E144">
        <v>4</v>
      </c>
      <c r="F144">
        <v>526</v>
      </c>
      <c r="G144" s="12">
        <v>266.8</v>
      </c>
      <c r="H144" s="5">
        <v>6.28</v>
      </c>
      <c r="I144" s="5">
        <v>16.02</v>
      </c>
      <c r="J144" s="5">
        <v>25.97</v>
      </c>
      <c r="K144" s="5">
        <f t="shared" si="33"/>
        <v>11.15</v>
      </c>
      <c r="L144" s="5">
        <f t="shared" si="34"/>
        <v>9.7399999999999984</v>
      </c>
      <c r="M144" s="5">
        <f t="shared" si="35"/>
        <v>14.819999999999999</v>
      </c>
      <c r="N144" s="13">
        <v>623.45000000000005</v>
      </c>
      <c r="O144" s="17">
        <f t="shared" si="36"/>
        <v>5.9557773152588437E-6</v>
      </c>
      <c r="P144" s="19">
        <f t="shared" si="37"/>
        <v>5.9466755863668588E-6</v>
      </c>
      <c r="Q144" s="11">
        <f t="shared" si="38"/>
        <v>588.77425770805075</v>
      </c>
      <c r="R144" s="15">
        <f t="shared" si="39"/>
        <v>34.675742291949291</v>
      </c>
      <c r="S144" s="16">
        <f t="shared" si="40"/>
        <v>5.8894800236228395</v>
      </c>
      <c r="V144" s="14">
        <v>0.01</v>
      </c>
      <c r="W144" s="9">
        <v>0.9</v>
      </c>
      <c r="X144" s="6">
        <v>1400</v>
      </c>
      <c r="AC144" s="5">
        <v>27.423949967575076</v>
      </c>
      <c r="AE144">
        <v>3</v>
      </c>
      <c r="AG144" s="13"/>
      <c r="AH144" s="13"/>
      <c r="AI144" s="10"/>
      <c r="AJ144" s="13">
        <v>1579</v>
      </c>
      <c r="AK144" s="13">
        <v>1579</v>
      </c>
      <c r="AL144" s="10">
        <v>-1.1661022890156136E-2</v>
      </c>
      <c r="AM144" s="1">
        <v>20.899999618530273</v>
      </c>
      <c r="AN144" s="2">
        <v>46</v>
      </c>
      <c r="AO144" s="3">
        <v>7.059999942779541</v>
      </c>
      <c r="AP144" s="3">
        <v>7.059999942779541</v>
      </c>
      <c r="AR144" s="1">
        <v>-9.9149999999999991</v>
      </c>
      <c r="AS144" s="1">
        <v>-2.0299999999999976</v>
      </c>
      <c r="AT144" s="1">
        <v>-8.9</v>
      </c>
      <c r="AU144">
        <v>3</v>
      </c>
      <c r="AV144" s="7">
        <v>0.91500000000000026</v>
      </c>
      <c r="AW144" s="3">
        <v>7.059999942779541</v>
      </c>
      <c r="AX144" s="7">
        <v>0.30980909566629211</v>
      </c>
      <c r="AZ144" s="10">
        <v>8.5000000000000006E-2</v>
      </c>
      <c r="CD144" s="10">
        <v>8.5000000000000006E-2</v>
      </c>
      <c r="CE144" s="10">
        <v>0</v>
      </c>
      <c r="CF144" s="10">
        <v>9.7799999999999998E-2</v>
      </c>
      <c r="CG144">
        <v>740</v>
      </c>
      <c r="CH144" s="13">
        <v>1579</v>
      </c>
      <c r="CI144" s="13">
        <v>1579</v>
      </c>
      <c r="CJ144">
        <v>0</v>
      </c>
      <c r="CK144">
        <v>669</v>
      </c>
      <c r="CL144">
        <v>9.8999996185302734</v>
      </c>
      <c r="CM144" s="1">
        <v>20.899999618530273</v>
      </c>
      <c r="CR144">
        <v>4192.203125</v>
      </c>
      <c r="CS144">
        <v>1.0550044180490659E-6</v>
      </c>
      <c r="CT144">
        <v>0.61393994092941284</v>
      </c>
    </row>
    <row r="145" spans="1:98" x14ac:dyDescent="0.3">
      <c r="A145" s="4">
        <v>3.87</v>
      </c>
      <c r="B145" s="6">
        <v>1360</v>
      </c>
      <c r="C145" s="5">
        <v>21.59</v>
      </c>
      <c r="D145">
        <v>2</v>
      </c>
      <c r="E145">
        <v>4</v>
      </c>
      <c r="F145">
        <v>543</v>
      </c>
      <c r="G145" s="12">
        <v>277.89999999999998</v>
      </c>
      <c r="H145" s="5">
        <v>10.59</v>
      </c>
      <c r="I145" s="5">
        <v>12.04</v>
      </c>
      <c r="J145" s="5">
        <v>24.01</v>
      </c>
      <c r="K145" s="5">
        <f t="shared" si="33"/>
        <v>11.315</v>
      </c>
      <c r="L145" s="5">
        <f t="shared" si="34"/>
        <v>1.4499999999999993</v>
      </c>
      <c r="M145" s="5">
        <f t="shared" si="35"/>
        <v>12.695000000000002</v>
      </c>
      <c r="N145" s="13">
        <v>672.08</v>
      </c>
      <c r="O145" s="17">
        <f t="shared" si="36"/>
        <v>5.269500357392762E-6</v>
      </c>
      <c r="P145" s="19">
        <f t="shared" si="37"/>
        <v>5.2634617053246271E-6</v>
      </c>
      <c r="Q145" s="11">
        <f t="shared" si="38"/>
        <v>717.75068958769793</v>
      </c>
      <c r="R145" s="15">
        <f t="shared" si="39"/>
        <v>45.670689587697893</v>
      </c>
      <c r="S145" s="16">
        <f t="shared" si="40"/>
        <v>6.3630297051937017</v>
      </c>
      <c r="V145" s="14">
        <v>0.01</v>
      </c>
      <c r="W145" s="9">
        <v>0.89</v>
      </c>
      <c r="X145" s="6">
        <v>1400</v>
      </c>
      <c r="AC145" s="5">
        <v>20.58</v>
      </c>
      <c r="AE145">
        <v>3</v>
      </c>
      <c r="AG145" s="13"/>
      <c r="AH145" s="13"/>
      <c r="AI145" s="10"/>
      <c r="AJ145" s="13">
        <v>1232</v>
      </c>
      <c r="AK145" s="13">
        <v>1232</v>
      </c>
      <c r="AL145" s="10">
        <v>5.517286409193245E-3</v>
      </c>
      <c r="AM145" s="1">
        <v>14</v>
      </c>
      <c r="AN145" s="2">
        <v>56</v>
      </c>
      <c r="AO145" s="3">
        <v>5.5399999618530273</v>
      </c>
      <c r="AP145" s="3">
        <v>5.5399999618530273</v>
      </c>
      <c r="AR145" s="1">
        <v>-13.675000000000001</v>
      </c>
      <c r="AS145" s="1">
        <v>-5.9700000000000006</v>
      </c>
      <c r="AT145" s="1">
        <v>-10.690000000000001</v>
      </c>
      <c r="AU145">
        <v>4</v>
      </c>
      <c r="AV145" s="7">
        <v>0.65799999999999981</v>
      </c>
      <c r="AW145" s="3">
        <v>5.5399999618530273</v>
      </c>
      <c r="AX145" s="7">
        <v>0.36766319056286334</v>
      </c>
      <c r="AZ145" s="10">
        <v>0.34200000000000003</v>
      </c>
      <c r="CD145" s="10">
        <v>0.34200000000000003</v>
      </c>
      <c r="CE145" s="10">
        <v>0</v>
      </c>
      <c r="CF145" s="10">
        <v>0.23530000000000001</v>
      </c>
      <c r="CG145">
        <v>555</v>
      </c>
      <c r="CH145" s="13">
        <v>1232</v>
      </c>
      <c r="CI145" s="13">
        <v>1232</v>
      </c>
      <c r="CJ145">
        <v>0</v>
      </c>
      <c r="CK145">
        <v>177</v>
      </c>
      <c r="CL145">
        <v>0.89999997615814209</v>
      </c>
      <c r="CM145" s="1">
        <v>14</v>
      </c>
      <c r="CR145">
        <v>4190.4365234375</v>
      </c>
      <c r="CS145">
        <v>1.3054002465651138E-6</v>
      </c>
      <c r="CT145">
        <v>0.60203844308853149</v>
      </c>
    </row>
    <row r="146" spans="1:98" x14ac:dyDescent="0.3">
      <c r="A146" s="4">
        <v>4.07</v>
      </c>
      <c r="B146" s="6">
        <v>1360</v>
      </c>
      <c r="C146" s="5">
        <v>21.67</v>
      </c>
      <c r="D146">
        <v>2</v>
      </c>
      <c r="E146">
        <v>4</v>
      </c>
      <c r="F146">
        <v>565</v>
      </c>
      <c r="G146" s="12">
        <v>293.5</v>
      </c>
      <c r="H146" s="5">
        <v>7.97</v>
      </c>
      <c r="I146" s="5">
        <v>11.94</v>
      </c>
      <c r="J146" s="5">
        <v>23.97</v>
      </c>
      <c r="K146" s="5">
        <f t="shared" si="33"/>
        <v>9.9550000000000001</v>
      </c>
      <c r="L146" s="5">
        <f t="shared" si="34"/>
        <v>3.9699999999999998</v>
      </c>
      <c r="M146" s="5">
        <f t="shared" si="35"/>
        <v>14.014999999999999</v>
      </c>
      <c r="N146" s="13">
        <v>696.24</v>
      </c>
      <c r="O146" s="17">
        <f t="shared" si="36"/>
        <v>5.4965197130615688E-6</v>
      </c>
      <c r="P146" s="19">
        <f t="shared" si="37"/>
        <v>5.489017930131218E-6</v>
      </c>
      <c r="Q146" s="11">
        <f t="shared" si="38"/>
        <v>712.65664273660582</v>
      </c>
      <c r="R146" s="15">
        <f t="shared" si="39"/>
        <v>16.416642736605809</v>
      </c>
      <c r="S146" s="16">
        <f t="shared" si="40"/>
        <v>2.3035837670109638</v>
      </c>
      <c r="V146" s="14">
        <v>0.01</v>
      </c>
      <c r="W146" s="9">
        <v>0.89</v>
      </c>
      <c r="X146" s="6">
        <v>1400</v>
      </c>
      <c r="AC146" s="5">
        <v>20.402599870300293</v>
      </c>
      <c r="AE146">
        <v>3</v>
      </c>
      <c r="AG146" s="13"/>
      <c r="AH146" s="13"/>
      <c r="AI146" s="10"/>
      <c r="AJ146" s="13">
        <v>1091</v>
      </c>
      <c r="AK146" s="13">
        <v>1091</v>
      </c>
      <c r="AL146" s="10">
        <v>1.0447152965583628E-2</v>
      </c>
      <c r="AM146" s="1">
        <v>13.399999618530273</v>
      </c>
      <c r="AN146" s="2">
        <v>58</v>
      </c>
      <c r="AO146" s="3">
        <v>5.5399999618530273</v>
      </c>
      <c r="AP146" s="3">
        <v>5.5399999618530273</v>
      </c>
      <c r="AR146" s="1">
        <v>-14.060000000000002</v>
      </c>
      <c r="AS146" s="1">
        <v>-6.1599999999999993</v>
      </c>
      <c r="AT146" s="1">
        <v>-10.980000000000002</v>
      </c>
      <c r="AU146">
        <v>4</v>
      </c>
      <c r="AV146" s="7">
        <v>0.65999999999999992</v>
      </c>
      <c r="AW146" s="3">
        <v>5.5399999618530273</v>
      </c>
      <c r="AX146" s="7">
        <v>0.37171033436939233</v>
      </c>
      <c r="AZ146" s="10">
        <v>0.34</v>
      </c>
      <c r="CD146" s="10">
        <v>0.34</v>
      </c>
      <c r="CE146" s="10">
        <v>0</v>
      </c>
      <c r="CF146" s="10">
        <v>0.29120000000000001</v>
      </c>
      <c r="CG146">
        <v>460</v>
      </c>
      <c r="CH146" s="13">
        <v>1091</v>
      </c>
      <c r="CI146" s="13">
        <v>1091</v>
      </c>
      <c r="CJ146">
        <v>0</v>
      </c>
      <c r="CK146">
        <v>152</v>
      </c>
      <c r="CL146">
        <v>0.69999998807907104</v>
      </c>
      <c r="CM146" s="1">
        <v>13.399999618530273</v>
      </c>
      <c r="CR146">
        <v>4190.33203125</v>
      </c>
      <c r="CS146">
        <v>1.3194658095017076E-6</v>
      </c>
      <c r="CT146">
        <v>0.60143804550170898</v>
      </c>
    </row>
    <row r="147" spans="1:98" x14ac:dyDescent="0.3">
      <c r="A147" s="4">
        <v>4.08</v>
      </c>
      <c r="B147" s="6">
        <v>1360</v>
      </c>
      <c r="C147" s="5">
        <v>22.19</v>
      </c>
      <c r="D147">
        <v>2</v>
      </c>
      <c r="E147">
        <v>4</v>
      </c>
      <c r="F147">
        <v>565</v>
      </c>
      <c r="G147" s="12">
        <v>292.89999999999998</v>
      </c>
      <c r="H147" s="5">
        <v>10.14</v>
      </c>
      <c r="I147" s="5">
        <v>14.06</v>
      </c>
      <c r="J147" s="5">
        <v>23.99</v>
      </c>
      <c r="K147" s="5">
        <f t="shared" si="33"/>
        <v>12.100000000000001</v>
      </c>
      <c r="L147" s="5">
        <f t="shared" si="34"/>
        <v>3.92</v>
      </c>
      <c r="M147" s="5">
        <f t="shared" si="35"/>
        <v>11.889999999999997</v>
      </c>
      <c r="N147" s="13">
        <v>596.19000000000005</v>
      </c>
      <c r="O147" s="17">
        <f t="shared" si="36"/>
        <v>5.5354143236017423E-6</v>
      </c>
      <c r="P147" s="19">
        <f t="shared" si="37"/>
        <v>5.5279329939644747E-6</v>
      </c>
      <c r="Q147" s="11">
        <f t="shared" si="38"/>
        <v>605.96185982400129</v>
      </c>
      <c r="R147" s="15">
        <f t="shared" si="39"/>
        <v>9.7718598240012398</v>
      </c>
      <c r="S147" s="16">
        <f t="shared" si="40"/>
        <v>1.6126196171553531</v>
      </c>
      <c r="V147" s="14">
        <v>0.01</v>
      </c>
      <c r="W147" s="9">
        <v>0.89</v>
      </c>
      <c r="X147" s="6">
        <v>1400</v>
      </c>
      <c r="AC147" s="5">
        <v>19.636200000000002</v>
      </c>
      <c r="AE147">
        <v>3</v>
      </c>
      <c r="AG147" s="13"/>
      <c r="AH147" s="13"/>
      <c r="AI147" s="10"/>
      <c r="AJ147" s="13">
        <v>883</v>
      </c>
      <c r="AK147" s="13">
        <v>883</v>
      </c>
      <c r="AL147" s="10">
        <v>-1.503963452557322E-3</v>
      </c>
      <c r="AM147" s="1">
        <v>12.5</v>
      </c>
      <c r="AN147" s="2">
        <v>62</v>
      </c>
      <c r="AO147" s="3">
        <v>5.5399999618530273</v>
      </c>
      <c r="AP147" s="3">
        <v>5.5399999618530273</v>
      </c>
      <c r="AR147" s="1">
        <v>-14.390000000000002</v>
      </c>
      <c r="AS147" s="1">
        <v>-5.8199999999999994</v>
      </c>
      <c r="AT147" s="1">
        <v>-11.480000000000002</v>
      </c>
      <c r="AU147">
        <v>4</v>
      </c>
      <c r="AV147" s="7">
        <v>0.62000000000000011</v>
      </c>
      <c r="AW147" s="3">
        <v>5.5399999618530273</v>
      </c>
      <c r="AX147" s="7">
        <v>0.38977996964610767</v>
      </c>
      <c r="AZ147" s="10">
        <v>0.38</v>
      </c>
      <c r="CD147" s="10">
        <v>0.38</v>
      </c>
      <c r="CE147" s="10">
        <v>0</v>
      </c>
      <c r="CF147" s="10">
        <v>0.36780000000000002</v>
      </c>
      <c r="CG147">
        <v>370</v>
      </c>
      <c r="CH147" s="13">
        <v>883</v>
      </c>
      <c r="CI147" s="13">
        <v>883</v>
      </c>
      <c r="CJ147">
        <v>0</v>
      </c>
      <c r="CK147">
        <v>130</v>
      </c>
      <c r="CL147">
        <v>0.5</v>
      </c>
      <c r="CM147" s="1">
        <v>12.5</v>
      </c>
      <c r="CR147">
        <v>4190.23779296875</v>
      </c>
      <c r="CS147">
        <v>1.3320109246706124E-6</v>
      </c>
      <c r="CT147">
        <v>0.60090750455856323</v>
      </c>
    </row>
    <row r="148" spans="1:98" x14ac:dyDescent="0.3">
      <c r="A148" s="4">
        <v>3.99</v>
      </c>
      <c r="B148" s="6">
        <v>1360</v>
      </c>
      <c r="C148" s="5">
        <v>20.9</v>
      </c>
      <c r="D148">
        <v>2</v>
      </c>
      <c r="E148">
        <v>4</v>
      </c>
      <c r="F148">
        <v>571</v>
      </c>
      <c r="G148" s="12">
        <v>298.10000000000002</v>
      </c>
      <c r="H148" s="5">
        <v>8.01</v>
      </c>
      <c r="I148" s="5">
        <v>9.73</v>
      </c>
      <c r="J148" s="5">
        <v>24.01</v>
      </c>
      <c r="K148" s="5">
        <f t="shared" si="33"/>
        <v>8.870000000000001</v>
      </c>
      <c r="L148" s="5">
        <f t="shared" si="34"/>
        <v>1.7200000000000006</v>
      </c>
      <c r="M148" s="5">
        <f t="shared" si="35"/>
        <v>15.14</v>
      </c>
      <c r="N148" s="13">
        <v>802.15</v>
      </c>
      <c r="O148" s="17">
        <f t="shared" si="36"/>
        <v>5.0471252871075345E-6</v>
      </c>
      <c r="P148" s="19">
        <f t="shared" si="37"/>
        <v>5.0408603777653866E-6</v>
      </c>
      <c r="Q148" s="11">
        <f t="shared" si="38"/>
        <v>894.36774077925986</v>
      </c>
      <c r="R148" s="15">
        <f t="shared" si="39"/>
        <v>92.217740779259884</v>
      </c>
      <c r="S148" s="16">
        <f t="shared" si="40"/>
        <v>10.310942196876516</v>
      </c>
      <c r="V148" s="14">
        <v>0.01</v>
      </c>
      <c r="W148" s="9">
        <v>0.88</v>
      </c>
      <c r="X148" s="6">
        <v>1400</v>
      </c>
      <c r="AC148" s="5">
        <v>20.819100062942503</v>
      </c>
      <c r="AE148">
        <v>3</v>
      </c>
      <c r="AG148" s="13"/>
      <c r="AH148" s="13"/>
      <c r="AI148" s="10"/>
      <c r="AJ148" s="13">
        <v>802</v>
      </c>
      <c r="AK148" s="13">
        <v>802</v>
      </c>
      <c r="AL148" s="10">
        <v>1.0088288265595269E-2</v>
      </c>
      <c r="AM148" s="1">
        <v>14.300000190734863</v>
      </c>
      <c r="AN148" s="2">
        <v>55</v>
      </c>
      <c r="AO148" s="3">
        <v>5.5399999618530273</v>
      </c>
      <c r="AP148" s="3">
        <v>5.5399999618530273</v>
      </c>
      <c r="AR148" s="1">
        <v>-12.540000000000001</v>
      </c>
      <c r="AS148" s="1">
        <v>-5.98</v>
      </c>
      <c r="AT148" s="1">
        <v>-9.5500000000000007</v>
      </c>
      <c r="AU148">
        <v>3</v>
      </c>
      <c r="AV148" s="7">
        <v>0.66999999999999971</v>
      </c>
      <c r="AW148" s="3">
        <v>5.5399999618530273</v>
      </c>
      <c r="AX148" s="7">
        <v>0.36228661600366641</v>
      </c>
      <c r="AZ148" s="10">
        <v>0.33</v>
      </c>
      <c r="CD148" s="10">
        <v>0.33</v>
      </c>
      <c r="CE148" s="10">
        <v>0</v>
      </c>
      <c r="CF148" s="10">
        <v>0.33800000000000002</v>
      </c>
      <c r="CG148">
        <v>365</v>
      </c>
      <c r="CH148" s="13">
        <v>802</v>
      </c>
      <c r="CI148" s="13">
        <v>802</v>
      </c>
      <c r="CJ148">
        <v>0</v>
      </c>
      <c r="CK148">
        <v>115</v>
      </c>
      <c r="CL148">
        <v>0.40000000596046448</v>
      </c>
      <c r="CM148" s="1">
        <v>14.300000190734863</v>
      </c>
      <c r="CR148">
        <v>4190.74951171875</v>
      </c>
      <c r="CS148">
        <v>1.2629690218091127E-6</v>
      </c>
      <c r="CT148">
        <v>0.60388678312301636</v>
      </c>
    </row>
    <row r="149" spans="1:98" x14ac:dyDescent="0.3">
      <c r="A149" s="4">
        <v>4.67</v>
      </c>
      <c r="B149" s="6">
        <v>1360</v>
      </c>
      <c r="C149" s="5">
        <v>24.21</v>
      </c>
      <c r="D149">
        <v>2</v>
      </c>
      <c r="E149">
        <v>4</v>
      </c>
      <c r="F149">
        <v>652</v>
      </c>
      <c r="G149" s="12">
        <v>353.9</v>
      </c>
      <c r="H149" s="5">
        <v>6.28</v>
      </c>
      <c r="I149" s="5">
        <v>16.170000000000002</v>
      </c>
      <c r="J149" s="5">
        <v>25.97</v>
      </c>
      <c r="K149" s="5">
        <f t="shared" si="33"/>
        <v>11.225000000000001</v>
      </c>
      <c r="L149" s="5">
        <f t="shared" si="34"/>
        <v>9.89</v>
      </c>
      <c r="M149" s="5">
        <f t="shared" si="35"/>
        <v>14.744999999999997</v>
      </c>
      <c r="N149" s="13">
        <v>859.3</v>
      </c>
      <c r="O149" s="17">
        <f t="shared" si="36"/>
        <v>6.0911068028843946E-6</v>
      </c>
      <c r="P149" s="19">
        <f t="shared" si="37"/>
        <v>6.0819750608808475E-6</v>
      </c>
      <c r="Q149" s="11">
        <f t="shared" si="38"/>
        <v>793.4725651242095</v>
      </c>
      <c r="R149" s="15">
        <f t="shared" si="39"/>
        <v>65.827434875790459</v>
      </c>
      <c r="S149" s="16">
        <f t="shared" si="40"/>
        <v>8.2961198369203792</v>
      </c>
      <c r="V149" s="14">
        <v>0.01</v>
      </c>
      <c r="W149" s="9">
        <v>0.89</v>
      </c>
      <c r="X149" s="6">
        <v>1400</v>
      </c>
      <c r="AC149" s="5">
        <v>21.878999999999998</v>
      </c>
      <c r="AE149">
        <v>3</v>
      </c>
      <c r="AG149" s="13"/>
      <c r="AH149" s="13"/>
      <c r="AI149" s="10"/>
      <c r="AJ149" s="13">
        <v>603</v>
      </c>
      <c r="AK149" s="13">
        <v>603</v>
      </c>
      <c r="AL149" s="10">
        <v>1.3138882354917891E-2</v>
      </c>
      <c r="AM149" s="1">
        <v>17</v>
      </c>
      <c r="AN149" s="2">
        <v>46</v>
      </c>
      <c r="AO149" s="3">
        <v>5.5300002098083496</v>
      </c>
      <c r="AP149" s="3">
        <v>5.5300002098083496</v>
      </c>
      <c r="AR149" s="1">
        <v>-8.5599999999999987</v>
      </c>
      <c r="AS149" s="1">
        <v>-2.7199999999999989</v>
      </c>
      <c r="AT149" s="1">
        <v>-7.1999999999999993</v>
      </c>
      <c r="AU149">
        <v>3</v>
      </c>
      <c r="AV149" s="7">
        <v>0.69999999999999973</v>
      </c>
      <c r="AW149" s="3">
        <v>5.5300002098083496</v>
      </c>
      <c r="AX149" s="7">
        <v>0.3388866531396264</v>
      </c>
      <c r="AZ149" s="10">
        <v>0.3</v>
      </c>
      <c r="CD149" s="10">
        <v>0.3</v>
      </c>
      <c r="CE149" s="10">
        <v>0</v>
      </c>
      <c r="CF149" s="10">
        <v>0.24379999999999999</v>
      </c>
      <c r="CG149">
        <v>365</v>
      </c>
      <c r="CH149" s="13">
        <v>603</v>
      </c>
      <c r="CI149" s="13">
        <v>603</v>
      </c>
      <c r="CJ149">
        <v>0</v>
      </c>
      <c r="CK149">
        <v>191</v>
      </c>
      <c r="CL149">
        <v>1</v>
      </c>
      <c r="CM149" s="1">
        <v>17</v>
      </c>
      <c r="CR149">
        <v>4191.6728515625</v>
      </c>
      <c r="CS149">
        <v>1.1334528835504898E-6</v>
      </c>
      <c r="CT149">
        <v>0.60992574691772461</v>
      </c>
    </row>
    <row r="150" spans="1:98" x14ac:dyDescent="0.3">
      <c r="A150" s="4">
        <v>4.99</v>
      </c>
      <c r="B150" s="6">
        <v>1360</v>
      </c>
      <c r="C150" s="5">
        <v>23.09</v>
      </c>
      <c r="D150">
        <v>2</v>
      </c>
      <c r="E150">
        <v>4</v>
      </c>
      <c r="F150">
        <v>657</v>
      </c>
      <c r="G150" s="12">
        <v>356.2</v>
      </c>
      <c r="H150" s="5">
        <v>5.92</v>
      </c>
      <c r="I150" s="5">
        <v>18.75</v>
      </c>
      <c r="J150" s="5">
        <v>23.99</v>
      </c>
      <c r="K150" s="5">
        <f t="shared" si="33"/>
        <v>12.335000000000001</v>
      </c>
      <c r="L150" s="5">
        <f t="shared" si="34"/>
        <v>12.83</v>
      </c>
      <c r="M150" s="5">
        <f t="shared" si="35"/>
        <v>11.654999999999998</v>
      </c>
      <c r="N150" s="13">
        <v>619.97</v>
      </c>
      <c r="O150" s="17">
        <f t="shared" si="36"/>
        <v>5.7333593611692197E-6</v>
      </c>
      <c r="P150" s="19">
        <f t="shared" si="37"/>
        <v>5.7237010470908884E-6</v>
      </c>
      <c r="Q150" s="11">
        <f t="shared" si="38"/>
        <v>608.14083765512294</v>
      </c>
      <c r="R150" s="15">
        <f t="shared" si="39"/>
        <v>11.829162344877091</v>
      </c>
      <c r="S150" s="16">
        <f t="shared" si="40"/>
        <v>1.9451353391244153</v>
      </c>
      <c r="V150" s="14">
        <v>0.01</v>
      </c>
      <c r="W150" s="9">
        <v>0.89</v>
      </c>
      <c r="X150" s="6">
        <v>1400</v>
      </c>
      <c r="AC150" s="5">
        <v>20.904700125885011</v>
      </c>
      <c r="AE150">
        <v>3</v>
      </c>
      <c r="AG150" s="13"/>
      <c r="AH150" s="13"/>
      <c r="AI150" s="10"/>
      <c r="AJ150" s="13">
        <v>774</v>
      </c>
      <c r="AK150" s="13">
        <v>774</v>
      </c>
      <c r="AL150" s="10">
        <v>7.327199135833018E-3</v>
      </c>
      <c r="AM150" s="1">
        <v>14.600000381469727</v>
      </c>
      <c r="AN150" s="2">
        <v>54</v>
      </c>
      <c r="AO150" s="3">
        <v>5.5399999618530273</v>
      </c>
      <c r="AP150" s="3">
        <v>5.5399999618530273</v>
      </c>
      <c r="AR150" s="1">
        <v>-11.690000000000001</v>
      </c>
      <c r="AS150" s="1">
        <v>-4.4399999999999995</v>
      </c>
      <c r="AT150" s="1">
        <v>-9.4700000000000024</v>
      </c>
      <c r="AU150">
        <v>4</v>
      </c>
      <c r="AV150" s="7">
        <v>0.66999999999999993</v>
      </c>
      <c r="AW150" s="3">
        <v>5.5399999618530273</v>
      </c>
      <c r="AX150" s="7">
        <v>0.36038329153639326</v>
      </c>
      <c r="AZ150" s="10">
        <v>0.33</v>
      </c>
      <c r="CD150" s="10">
        <v>0.33</v>
      </c>
      <c r="CE150" s="10">
        <v>0</v>
      </c>
      <c r="CF150" s="10">
        <v>0.3175</v>
      </c>
      <c r="CG150">
        <v>365</v>
      </c>
      <c r="CH150" s="13">
        <v>774</v>
      </c>
      <c r="CI150" s="13">
        <v>774</v>
      </c>
      <c r="CJ150">
        <v>0</v>
      </c>
      <c r="CK150">
        <v>150</v>
      </c>
      <c r="CL150">
        <v>0.69999998807907104</v>
      </c>
      <c r="CM150" s="1">
        <v>14.600000381469727</v>
      </c>
      <c r="CR150">
        <v>4190.96142578125</v>
      </c>
      <c r="CS150">
        <v>1.2338775832176907E-6</v>
      </c>
      <c r="CT150">
        <v>0.60518825054168701</v>
      </c>
    </row>
    <row r="151" spans="1:98" x14ac:dyDescent="0.3">
      <c r="A151" s="4">
        <v>5.0999999999999996</v>
      </c>
      <c r="B151" s="6">
        <v>1360</v>
      </c>
      <c r="C151" s="5">
        <v>22.39</v>
      </c>
      <c r="D151">
        <v>2</v>
      </c>
      <c r="E151">
        <v>4</v>
      </c>
      <c r="F151">
        <v>669</v>
      </c>
      <c r="G151" s="12">
        <v>365.4</v>
      </c>
      <c r="H151" s="5">
        <v>8.0399999999999991</v>
      </c>
      <c r="I151" s="5">
        <v>12.01</v>
      </c>
      <c r="J151" s="5">
        <v>24.01</v>
      </c>
      <c r="K151" s="5">
        <f t="shared" si="33"/>
        <v>10.024999999999999</v>
      </c>
      <c r="L151" s="5">
        <f t="shared" si="34"/>
        <v>3.9700000000000006</v>
      </c>
      <c r="M151" s="5">
        <f t="shared" si="35"/>
        <v>13.985000000000003</v>
      </c>
      <c r="N151" s="13">
        <v>904.66</v>
      </c>
      <c r="O151" s="17">
        <f t="shared" si="36"/>
        <v>5.6261881135194777E-6</v>
      </c>
      <c r="P151" s="19">
        <f t="shared" si="37"/>
        <v>5.6186863305891269E-6</v>
      </c>
      <c r="Q151" s="11">
        <f t="shared" si="38"/>
        <v>904.64939336774501</v>
      </c>
      <c r="R151" s="15">
        <f t="shared" si="39"/>
        <v>1.0606632254962278E-2</v>
      </c>
      <c r="S151" s="16">
        <f t="shared" si="40"/>
        <v>1.1724577867022745E-3</v>
      </c>
      <c r="V151" s="14">
        <v>0.01</v>
      </c>
      <c r="W151" s="9">
        <v>0.88</v>
      </c>
      <c r="X151" s="6">
        <v>1400</v>
      </c>
      <c r="AC151" s="5">
        <v>21.543399883651738</v>
      </c>
      <c r="AE151">
        <v>3</v>
      </c>
      <c r="AG151" s="13"/>
      <c r="AH151" s="13"/>
      <c r="AI151" s="10"/>
      <c r="AJ151" s="13">
        <v>699</v>
      </c>
      <c r="AK151" s="13">
        <v>699</v>
      </c>
      <c r="AL151" s="10">
        <v>1.4326647564470996E-3</v>
      </c>
      <c r="AM151" s="1">
        <v>15.899999618530273</v>
      </c>
      <c r="AN151" s="2">
        <v>50</v>
      </c>
      <c r="AO151" s="3">
        <v>5.5399999618530273</v>
      </c>
      <c r="AP151" s="3">
        <v>5.5399999618530273</v>
      </c>
      <c r="AR151" s="1">
        <v>-10.885</v>
      </c>
      <c r="AS151" s="1">
        <v>-6.0500000000000007</v>
      </c>
      <c r="AT151" s="1">
        <v>-7.8599999999999994</v>
      </c>
      <c r="AU151">
        <v>3</v>
      </c>
      <c r="AV151" s="7">
        <v>0.69500000000000051</v>
      </c>
      <c r="AW151" s="3">
        <v>5.5399999618530273</v>
      </c>
      <c r="AX151" s="7">
        <v>0.34653159616113849</v>
      </c>
      <c r="AZ151" s="10">
        <v>0.30499999999999999</v>
      </c>
      <c r="CD151" s="10">
        <v>0.30499999999999999</v>
      </c>
      <c r="CE151" s="10">
        <v>0</v>
      </c>
      <c r="CF151" s="10">
        <v>0.30270000000000002</v>
      </c>
      <c r="CG151">
        <v>365</v>
      </c>
      <c r="CH151" s="13">
        <v>699</v>
      </c>
      <c r="CI151" s="13">
        <v>699</v>
      </c>
      <c r="CJ151">
        <v>0</v>
      </c>
      <c r="CK151">
        <v>99</v>
      </c>
      <c r="CL151">
        <v>0.30000001192092896</v>
      </c>
      <c r="CM151" s="1">
        <v>15.899999618530273</v>
      </c>
      <c r="CR151">
        <v>4191.16064453125</v>
      </c>
      <c r="CS151">
        <v>1.2062060932294116E-6</v>
      </c>
      <c r="CT151">
        <v>0.60645407438278198</v>
      </c>
    </row>
    <row r="152" spans="1:98" x14ac:dyDescent="0.3">
      <c r="A152" s="4">
        <v>5.0999999999999996</v>
      </c>
      <c r="B152" s="6">
        <v>1360</v>
      </c>
      <c r="C152" s="5">
        <v>23.1</v>
      </c>
      <c r="D152">
        <v>2</v>
      </c>
      <c r="E152">
        <v>4</v>
      </c>
      <c r="F152">
        <v>670</v>
      </c>
      <c r="G152" s="12">
        <v>365.1</v>
      </c>
      <c r="H152" s="5">
        <v>9.9499999999999993</v>
      </c>
      <c r="I152" s="5">
        <v>14.86</v>
      </c>
      <c r="J152" s="5">
        <v>23.99</v>
      </c>
      <c r="K152" s="5">
        <f t="shared" si="33"/>
        <v>12.404999999999999</v>
      </c>
      <c r="L152" s="5">
        <f t="shared" si="34"/>
        <v>4.91</v>
      </c>
      <c r="M152" s="5">
        <f t="shared" si="35"/>
        <v>11.584999999999999</v>
      </c>
      <c r="N152" s="13">
        <v>745.49</v>
      </c>
      <c r="O152" s="17">
        <f t="shared" si="36"/>
        <v>5.7780109191465019E-6</v>
      </c>
      <c r="P152" s="19">
        <f t="shared" si="37"/>
        <v>5.7701577536875593E-6</v>
      </c>
      <c r="Q152" s="11">
        <f t="shared" si="38"/>
        <v>725.84768492834587</v>
      </c>
      <c r="R152" s="15">
        <f t="shared" si="39"/>
        <v>19.642315071654139</v>
      </c>
      <c r="S152" s="16">
        <f t="shared" si="40"/>
        <v>2.7061207853260827</v>
      </c>
      <c r="V152" s="14">
        <v>0.01</v>
      </c>
      <c r="W152" s="9">
        <v>0.88</v>
      </c>
      <c r="X152" s="6">
        <v>1400</v>
      </c>
      <c r="AC152" s="5">
        <v>20.509350127792359</v>
      </c>
      <c r="AE152">
        <v>3</v>
      </c>
      <c r="AG152" s="13"/>
      <c r="AH152" s="13"/>
      <c r="AI152" s="10"/>
      <c r="AJ152" s="13">
        <v>851</v>
      </c>
      <c r="AK152" s="13">
        <v>851</v>
      </c>
      <c r="AL152" s="10">
        <v>3.8336773813034686E-3</v>
      </c>
      <c r="AM152" s="1">
        <v>13.600000381469727</v>
      </c>
      <c r="AN152" s="2">
        <v>57</v>
      </c>
      <c r="AO152" s="3">
        <v>5.5300002098083496</v>
      </c>
      <c r="AP152" s="3">
        <v>5.5300002098083496</v>
      </c>
      <c r="AR152" s="1">
        <v>-13.754999999999999</v>
      </c>
      <c r="AS152" s="1">
        <v>-7.33</v>
      </c>
      <c r="AT152" s="1">
        <v>-10.09</v>
      </c>
      <c r="AU152">
        <v>4</v>
      </c>
      <c r="AV152" s="7">
        <v>0.66500000000000026</v>
      </c>
      <c r="AW152" s="3">
        <v>5.5300002098083496</v>
      </c>
      <c r="AX152" s="7">
        <v>0.36860834486785821</v>
      </c>
      <c r="AZ152" s="10">
        <v>0.33500000000000002</v>
      </c>
      <c r="CD152" s="10">
        <v>0.33500000000000002</v>
      </c>
      <c r="CE152" s="10">
        <v>0</v>
      </c>
      <c r="CF152" s="10">
        <v>0.36070000000000002</v>
      </c>
      <c r="CG152">
        <v>365</v>
      </c>
      <c r="CH152" s="13">
        <v>851</v>
      </c>
      <c r="CI152" s="13">
        <v>851</v>
      </c>
      <c r="CJ152">
        <v>0</v>
      </c>
      <c r="CK152">
        <v>100</v>
      </c>
      <c r="CL152">
        <v>0.30000001192092896</v>
      </c>
      <c r="CM152" s="1">
        <v>13.600000381469727</v>
      </c>
      <c r="CR152">
        <v>4190.41162109375</v>
      </c>
      <c r="CS152">
        <v>1.3087577599435463E-6</v>
      </c>
      <c r="CT152">
        <v>0.60189461708068848</v>
      </c>
    </row>
    <row r="153" spans="1:98" x14ac:dyDescent="0.3">
      <c r="A153" s="4">
        <v>4.87</v>
      </c>
      <c r="B153" s="6">
        <v>1360</v>
      </c>
      <c r="C153" s="5">
        <v>23.99</v>
      </c>
      <c r="D153">
        <v>2</v>
      </c>
      <c r="E153">
        <v>4</v>
      </c>
      <c r="F153">
        <v>672</v>
      </c>
      <c r="G153" s="12">
        <v>367.3</v>
      </c>
      <c r="H153" s="5">
        <v>6.57</v>
      </c>
      <c r="I153" s="5">
        <v>13.9</v>
      </c>
      <c r="J153" s="5">
        <v>23.99</v>
      </c>
      <c r="K153" s="5">
        <f t="shared" si="33"/>
        <v>10.234999999999999</v>
      </c>
      <c r="L153" s="5">
        <f t="shared" si="34"/>
        <v>7.33</v>
      </c>
      <c r="M153" s="5">
        <f t="shared" si="35"/>
        <v>13.754999999999999</v>
      </c>
      <c r="N153" s="13">
        <v>847.75</v>
      </c>
      <c r="O153" s="17">
        <f t="shared" si="36"/>
        <v>5.8792079310033581E-6</v>
      </c>
      <c r="P153" s="19">
        <f t="shared" si="37"/>
        <v>5.8706468096358177E-6</v>
      </c>
      <c r="Q153" s="11">
        <f t="shared" si="38"/>
        <v>811.10364765748727</v>
      </c>
      <c r="R153" s="15">
        <f t="shared" si="39"/>
        <v>36.646352342512728</v>
      </c>
      <c r="S153" s="16">
        <f t="shared" si="40"/>
        <v>4.5180850127291894</v>
      </c>
      <c r="V153" s="14">
        <v>0.01</v>
      </c>
      <c r="W153" s="9">
        <v>0.87</v>
      </c>
      <c r="X153" s="6">
        <v>1400</v>
      </c>
      <c r="AC153" s="5">
        <v>21.062200055313109</v>
      </c>
      <c r="AE153">
        <v>3</v>
      </c>
      <c r="AG153" s="13"/>
      <c r="AH153" s="13"/>
      <c r="AI153" s="10"/>
      <c r="AJ153" s="13">
        <v>970</v>
      </c>
      <c r="AK153" s="13">
        <v>970</v>
      </c>
      <c r="AL153" s="10">
        <v>-9.1668469136563235E-4</v>
      </c>
      <c r="AM153" s="1">
        <v>14.800000190734863</v>
      </c>
      <c r="AN153" s="2">
        <v>52</v>
      </c>
      <c r="AO153" s="3">
        <v>5.4099998474121094</v>
      </c>
      <c r="AP153" s="3">
        <v>5.4099998474121094</v>
      </c>
      <c r="AR153" s="1">
        <v>-12.995000000000001</v>
      </c>
      <c r="AS153" s="1">
        <v>-8.3500000000000014</v>
      </c>
      <c r="AT153" s="1">
        <v>-8.82</v>
      </c>
      <c r="AU153">
        <v>3</v>
      </c>
      <c r="AV153" s="7">
        <v>0.70999999999999974</v>
      </c>
      <c r="AW153" s="3">
        <v>5.4099998474121094</v>
      </c>
      <c r="AX153" s="7">
        <v>0.34860763270353168</v>
      </c>
      <c r="AZ153" s="10">
        <v>0.28999999999999998</v>
      </c>
      <c r="CD153" s="10">
        <v>0.28999999999999998</v>
      </c>
      <c r="CE153" s="10">
        <v>0</v>
      </c>
      <c r="CF153" s="10">
        <v>0.27429999999999999</v>
      </c>
      <c r="CG153">
        <v>460</v>
      </c>
      <c r="CH153" s="13">
        <v>970</v>
      </c>
      <c r="CI153" s="13">
        <v>970</v>
      </c>
      <c r="CJ153">
        <v>0</v>
      </c>
      <c r="CK153">
        <v>100</v>
      </c>
      <c r="CL153">
        <v>0.30000001192092896</v>
      </c>
      <c r="CM153" s="1">
        <v>14.800000190734863</v>
      </c>
      <c r="CR153">
        <v>4190.51904296875</v>
      </c>
      <c r="CS153">
        <v>1.2942920193381724E-6</v>
      </c>
      <c r="CT153">
        <v>0.60251682996749878</v>
      </c>
    </row>
    <row r="154" spans="1:98" x14ac:dyDescent="0.3">
      <c r="A154" s="4">
        <v>4.87</v>
      </c>
      <c r="B154" s="6">
        <v>1360</v>
      </c>
      <c r="C154" s="5">
        <v>22.76</v>
      </c>
      <c r="D154">
        <v>2</v>
      </c>
      <c r="E154">
        <v>4</v>
      </c>
      <c r="F154">
        <v>672</v>
      </c>
      <c r="G154" s="12">
        <v>366.8</v>
      </c>
      <c r="H154" s="5">
        <v>8.5</v>
      </c>
      <c r="I154" s="5">
        <v>14.48</v>
      </c>
      <c r="J154" s="5">
        <v>24.03</v>
      </c>
      <c r="K154" s="5">
        <f t="shared" si="33"/>
        <v>11.49</v>
      </c>
      <c r="L154" s="5">
        <f t="shared" si="34"/>
        <v>5.98</v>
      </c>
      <c r="M154" s="5">
        <f t="shared" si="35"/>
        <v>12.540000000000001</v>
      </c>
      <c r="N154" s="13">
        <v>793.99</v>
      </c>
      <c r="O154" s="17">
        <f t="shared" si="36"/>
        <v>5.84439932394353E-6</v>
      </c>
      <c r="P154" s="19">
        <f t="shared" si="37"/>
        <v>5.8362054750743447E-6</v>
      </c>
      <c r="Q154" s="11">
        <f t="shared" si="38"/>
        <v>764.24196646474866</v>
      </c>
      <c r="R154" s="15">
        <f t="shared" si="39"/>
        <v>29.748033535251352</v>
      </c>
      <c r="S154" s="16">
        <f t="shared" si="40"/>
        <v>3.8924888766395105</v>
      </c>
      <c r="V154" s="14">
        <v>0.01</v>
      </c>
      <c r="W154" s="9">
        <v>0.9</v>
      </c>
      <c r="X154" s="6">
        <v>1400</v>
      </c>
      <c r="AC154" s="5">
        <v>19.636200000000002</v>
      </c>
      <c r="AE154">
        <v>3</v>
      </c>
      <c r="AG154" s="13"/>
      <c r="AH154" s="13"/>
      <c r="AI154" s="10"/>
      <c r="AJ154" s="13">
        <v>669</v>
      </c>
      <c r="AK154" s="13">
        <v>669</v>
      </c>
      <c r="AL154" s="10">
        <v>-4.5827877633615177E-3</v>
      </c>
      <c r="AM154" s="1">
        <v>12.5</v>
      </c>
      <c r="AN154" s="2">
        <v>62</v>
      </c>
      <c r="AO154" s="3">
        <v>5.5399999618530273</v>
      </c>
      <c r="AP154" s="3">
        <v>5.5399999618530273</v>
      </c>
      <c r="AR154" s="1">
        <v>-12.695000000000002</v>
      </c>
      <c r="AS154" s="1">
        <v>-1.4499999999999993</v>
      </c>
      <c r="AT154" s="1">
        <v>-11.970000000000002</v>
      </c>
      <c r="AU154">
        <v>4</v>
      </c>
      <c r="AV154" s="7">
        <v>0.62000000000000011</v>
      </c>
      <c r="AW154" s="3">
        <v>5.5399999618530273</v>
      </c>
      <c r="AX154" s="7">
        <v>0.38977996964610767</v>
      </c>
      <c r="AZ154" s="10">
        <v>0.38</v>
      </c>
      <c r="CD154" s="10">
        <v>0.38</v>
      </c>
      <c r="CE154" s="10">
        <v>0</v>
      </c>
      <c r="CF154" s="10">
        <v>0.39979999999999999</v>
      </c>
      <c r="CG154">
        <v>280</v>
      </c>
      <c r="CH154" s="13">
        <v>669</v>
      </c>
      <c r="CI154" s="13">
        <v>669</v>
      </c>
      <c r="CJ154">
        <v>0</v>
      </c>
      <c r="CK154">
        <v>397</v>
      </c>
      <c r="CL154">
        <v>4</v>
      </c>
      <c r="CM154" s="1">
        <v>12.5</v>
      </c>
      <c r="CR154">
        <v>4190.70361328125</v>
      </c>
      <c r="CS154">
        <v>1.2692223663179902E-6</v>
      </c>
      <c r="CT154">
        <v>0.60361075401306152</v>
      </c>
    </row>
    <row r="155" spans="1:98" x14ac:dyDescent="0.3">
      <c r="A155" s="4">
        <v>4.88</v>
      </c>
      <c r="B155" s="6">
        <v>1360</v>
      </c>
      <c r="C155" s="5">
        <v>22.89</v>
      </c>
      <c r="D155">
        <v>2</v>
      </c>
      <c r="E155">
        <v>4</v>
      </c>
      <c r="F155">
        <v>673</v>
      </c>
      <c r="G155" s="12">
        <v>367.2</v>
      </c>
      <c r="H155" s="5">
        <v>10.1</v>
      </c>
      <c r="I155" s="5">
        <v>14.54</v>
      </c>
      <c r="J155" s="5">
        <v>24.01</v>
      </c>
      <c r="K155" s="5">
        <f t="shared" si="33"/>
        <v>12.32</v>
      </c>
      <c r="L155" s="5">
        <f t="shared" si="34"/>
        <v>4.4399999999999995</v>
      </c>
      <c r="M155" s="5">
        <f t="shared" si="35"/>
        <v>11.690000000000001</v>
      </c>
      <c r="N155" s="13">
        <v>768.37</v>
      </c>
      <c r="O155" s="17">
        <f t="shared" si="36"/>
        <v>5.7701942824835631E-6</v>
      </c>
      <c r="P155" s="19">
        <f t="shared" si="37"/>
        <v>5.7625094975363636E-6</v>
      </c>
      <c r="Q155" s="11">
        <f t="shared" si="38"/>
        <v>749.16071300415331</v>
      </c>
      <c r="R155" s="15">
        <f t="shared" si="39"/>
        <v>19.209286995846696</v>
      </c>
      <c r="S155" s="16">
        <f t="shared" si="40"/>
        <v>2.5641076290315645</v>
      </c>
      <c r="V155" s="14">
        <v>0.01</v>
      </c>
      <c r="W155" s="9">
        <v>0.88</v>
      </c>
      <c r="X155" s="6">
        <v>1400</v>
      </c>
      <c r="AC155" s="5">
        <v>19.101699874114988</v>
      </c>
      <c r="AE155">
        <v>3</v>
      </c>
      <c r="AG155" s="13"/>
      <c r="AH155" s="13"/>
      <c r="AI155" s="10"/>
      <c r="AJ155" s="13">
        <v>792</v>
      </c>
      <c r="AK155" s="13">
        <v>792</v>
      </c>
      <c r="AL155" s="10">
        <v>-1.324002269718072E-3</v>
      </c>
      <c r="AM155" s="1">
        <v>13.399999618530273</v>
      </c>
      <c r="AN155" s="2">
        <v>51</v>
      </c>
      <c r="AO155" s="3">
        <v>4.869999885559082</v>
      </c>
      <c r="AP155" s="3">
        <v>4.869999885559082</v>
      </c>
      <c r="AR155" s="1">
        <v>-11.21</v>
      </c>
      <c r="AS155" s="1">
        <v>-5.3600000000000012</v>
      </c>
      <c r="AT155" s="1">
        <v>-8.5300000000000011</v>
      </c>
      <c r="AU155">
        <v>4</v>
      </c>
      <c r="AV155" s="7">
        <v>0.66999999999999971</v>
      </c>
      <c r="AW155" s="3">
        <v>4.869999885559082</v>
      </c>
      <c r="AX155" s="7">
        <v>0.35461082774254904</v>
      </c>
      <c r="AZ155" s="10">
        <v>0.33</v>
      </c>
      <c r="CD155" s="10">
        <v>0.33</v>
      </c>
      <c r="CE155" s="10">
        <v>0</v>
      </c>
      <c r="CF155" s="10">
        <v>0.26979999999999998</v>
      </c>
      <c r="CG155">
        <v>415</v>
      </c>
      <c r="CH155" s="13">
        <v>792</v>
      </c>
      <c r="CI155" s="13">
        <v>792</v>
      </c>
      <c r="CJ155">
        <v>0</v>
      </c>
      <c r="CK155">
        <v>127</v>
      </c>
      <c r="CL155">
        <v>0.5</v>
      </c>
      <c r="CM155" s="1">
        <v>13.399999618530273</v>
      </c>
      <c r="CR155">
        <v>4190.53955078125</v>
      </c>
      <c r="CS155">
        <v>1.2915348861497478E-6</v>
      </c>
      <c r="CT155">
        <v>0.60263615846633911</v>
      </c>
    </row>
    <row r="156" spans="1:98" x14ac:dyDescent="0.3">
      <c r="A156" s="4">
        <v>4.87</v>
      </c>
      <c r="B156" s="6">
        <v>1360</v>
      </c>
      <c r="C156" s="5">
        <v>23.06</v>
      </c>
      <c r="D156">
        <v>2</v>
      </c>
      <c r="E156">
        <v>4</v>
      </c>
      <c r="F156">
        <v>673</v>
      </c>
      <c r="G156" s="12">
        <v>366.9</v>
      </c>
      <c r="H156" s="5">
        <v>10.11</v>
      </c>
      <c r="I156" s="5">
        <v>16.16</v>
      </c>
      <c r="J156" s="5">
        <v>24.02</v>
      </c>
      <c r="K156" s="5">
        <f t="shared" si="33"/>
        <v>13.135</v>
      </c>
      <c r="L156" s="5">
        <f t="shared" si="34"/>
        <v>6.0500000000000007</v>
      </c>
      <c r="M156" s="5">
        <f t="shared" si="35"/>
        <v>10.885</v>
      </c>
      <c r="N156" s="13">
        <v>698</v>
      </c>
      <c r="O156" s="17">
        <f t="shared" si="36"/>
        <v>5.9165400780893441E-6</v>
      </c>
      <c r="P156" s="19">
        <f t="shared" si="37"/>
        <v>5.9083256626256939E-6</v>
      </c>
      <c r="Q156" s="11">
        <f t="shared" si="38"/>
        <v>663.65405982158381</v>
      </c>
      <c r="R156" s="15">
        <f t="shared" si="39"/>
        <v>34.345940178416186</v>
      </c>
      <c r="S156" s="16">
        <f t="shared" si="40"/>
        <v>5.1752776420368241</v>
      </c>
      <c r="V156" s="14">
        <v>0.01</v>
      </c>
      <c r="W156" s="9">
        <v>0.9</v>
      </c>
      <c r="X156" s="6">
        <v>1400</v>
      </c>
      <c r="AC156" s="5">
        <v>20.860399955177307</v>
      </c>
      <c r="AE156">
        <v>3</v>
      </c>
      <c r="AG156" s="13"/>
      <c r="AH156" s="13"/>
      <c r="AI156" s="10"/>
      <c r="AJ156" s="13">
        <v>1001</v>
      </c>
      <c r="AK156" s="13">
        <v>1001</v>
      </c>
      <c r="AL156" s="10">
        <v>1.4706912248756421E-3</v>
      </c>
      <c r="AM156" s="1">
        <v>13.699999809265137</v>
      </c>
      <c r="AN156" s="2">
        <v>54</v>
      </c>
      <c r="AO156" s="3">
        <v>5.2399997711181641</v>
      </c>
      <c r="AP156" s="3">
        <v>5.2399997711181641</v>
      </c>
      <c r="AR156" s="1">
        <v>-11.579999999999998</v>
      </c>
      <c r="AS156" s="1">
        <v>-2.8800000000000008</v>
      </c>
      <c r="AT156" s="1">
        <v>-10.139999999999997</v>
      </c>
      <c r="AU156">
        <v>3</v>
      </c>
      <c r="AV156" s="7">
        <v>0.76500000000000012</v>
      </c>
      <c r="AW156" s="3">
        <v>5.2399997711181641</v>
      </c>
      <c r="AX156" s="7">
        <v>0.3419617704670202</v>
      </c>
      <c r="AZ156" s="10">
        <v>0.23499999999999999</v>
      </c>
      <c r="CD156" s="10">
        <v>0.23499999999999999</v>
      </c>
      <c r="CE156" s="10">
        <v>0</v>
      </c>
      <c r="CF156" s="10">
        <v>0.2671</v>
      </c>
      <c r="CG156">
        <v>415</v>
      </c>
      <c r="CH156" s="13">
        <v>1001</v>
      </c>
      <c r="CI156" s="13">
        <v>1001</v>
      </c>
      <c r="CJ156">
        <v>0</v>
      </c>
      <c r="CK156">
        <v>299</v>
      </c>
      <c r="CL156">
        <v>2.4000000953674316</v>
      </c>
      <c r="CM156" s="1">
        <v>13.699999809265137</v>
      </c>
      <c r="CR156">
        <v>4190.7470703125</v>
      </c>
      <c r="CS156">
        <v>1.2633252026716946E-6</v>
      </c>
      <c r="CT156">
        <v>0.60387098789215088</v>
      </c>
    </row>
    <row r="157" spans="1:98" x14ac:dyDescent="0.3">
      <c r="A157" s="4">
        <v>4.87</v>
      </c>
      <c r="B157" s="6">
        <v>1360</v>
      </c>
      <c r="C157" s="5">
        <v>22.37</v>
      </c>
      <c r="D157">
        <v>2</v>
      </c>
      <c r="E157">
        <v>4</v>
      </c>
      <c r="F157">
        <v>674</v>
      </c>
      <c r="G157" s="12">
        <v>369</v>
      </c>
      <c r="H157" s="5">
        <v>6.71</v>
      </c>
      <c r="I157" s="5">
        <v>12.53</v>
      </c>
      <c r="J157" s="5">
        <v>24.01</v>
      </c>
      <c r="K157" s="5">
        <f t="shared" si="33"/>
        <v>9.6199999999999992</v>
      </c>
      <c r="L157" s="5">
        <f t="shared" si="34"/>
        <v>5.8199999999999994</v>
      </c>
      <c r="M157" s="5">
        <f t="shared" si="35"/>
        <v>14.390000000000002</v>
      </c>
      <c r="N157" s="13">
        <v>884.33</v>
      </c>
      <c r="O157" s="17">
        <f t="shared" si="36"/>
        <v>5.6248872517110034E-6</v>
      </c>
      <c r="P157" s="19">
        <f t="shared" si="37"/>
        <v>5.616741131282766E-6</v>
      </c>
      <c r="Q157" s="11">
        <f t="shared" si="38"/>
        <v>884.42284635551403</v>
      </c>
      <c r="R157" s="15">
        <f t="shared" si="39"/>
        <v>9.2846355513984236E-2</v>
      </c>
      <c r="S157" s="16">
        <f t="shared" si="40"/>
        <v>1.0497959872535212E-2</v>
      </c>
      <c r="V157" s="14">
        <v>0.01</v>
      </c>
      <c r="W157" s="9">
        <v>0.65</v>
      </c>
      <c r="X157" s="6">
        <v>1400</v>
      </c>
      <c r="AC157" s="5">
        <v>23.414900041961669</v>
      </c>
      <c r="AE157">
        <v>3</v>
      </c>
      <c r="AG157" s="13"/>
      <c r="AH157" s="13"/>
      <c r="AI157" s="10"/>
      <c r="AJ157" s="13">
        <v>664</v>
      </c>
      <c r="AK157" s="13">
        <v>664</v>
      </c>
      <c r="AL157" s="10">
        <v>-9.9599972879517273E-2</v>
      </c>
      <c r="AM157" s="1">
        <v>18.600000381469727</v>
      </c>
      <c r="AN157" s="2">
        <v>42</v>
      </c>
      <c r="AO157" s="3">
        <v>5.5500001907348633</v>
      </c>
      <c r="AP157" s="3">
        <v>5.5500001907348633</v>
      </c>
      <c r="AR157" s="1">
        <v>-11.495000000000001</v>
      </c>
      <c r="AS157" s="1">
        <v>-12.729999999999999</v>
      </c>
      <c r="AT157" s="1">
        <v>-5.1300000000000017</v>
      </c>
      <c r="AU157">
        <v>3</v>
      </c>
      <c r="AV157" s="7">
        <v>0.88999999999999957</v>
      </c>
      <c r="AW157" s="3">
        <v>5.5500001907348633</v>
      </c>
      <c r="AX157" s="7">
        <v>0.30982622648759545</v>
      </c>
      <c r="AZ157" s="10">
        <v>0.11</v>
      </c>
      <c r="CD157" s="10">
        <v>0.11</v>
      </c>
      <c r="CE157" s="10">
        <v>0</v>
      </c>
      <c r="CF157" s="10">
        <v>0.25530000000000003</v>
      </c>
      <c r="CG157">
        <v>415</v>
      </c>
      <c r="CH157" s="13">
        <v>664</v>
      </c>
      <c r="CI157" s="13">
        <v>664</v>
      </c>
      <c r="CJ157">
        <v>0</v>
      </c>
      <c r="CK157">
        <v>45</v>
      </c>
      <c r="CL157">
        <v>0.10000000149011612</v>
      </c>
      <c r="CM157" s="1">
        <v>18.600000381469727</v>
      </c>
      <c r="CR157">
        <v>4191.009765625</v>
      </c>
      <c r="CS157">
        <v>1.2271771083760541E-6</v>
      </c>
      <c r="CT157">
        <v>0.6054922342300415</v>
      </c>
    </row>
    <row r="158" spans="1:98" x14ac:dyDescent="0.3">
      <c r="A158" s="4">
        <v>4.88</v>
      </c>
      <c r="B158" s="6">
        <v>1360</v>
      </c>
      <c r="C158" s="5">
        <v>23.18</v>
      </c>
      <c r="D158">
        <v>2</v>
      </c>
      <c r="E158">
        <v>4</v>
      </c>
      <c r="F158">
        <v>674</v>
      </c>
      <c r="G158" s="12">
        <v>366.6</v>
      </c>
      <c r="H158" s="5">
        <v>14.05</v>
      </c>
      <c r="I158" s="5">
        <v>16.77</v>
      </c>
      <c r="J158" s="5">
        <v>23.97</v>
      </c>
      <c r="K158" s="5">
        <f t="shared" si="33"/>
        <v>15.41</v>
      </c>
      <c r="L158" s="5">
        <f t="shared" si="34"/>
        <v>2.7199999999999989</v>
      </c>
      <c r="M158" s="5">
        <f t="shared" si="35"/>
        <v>8.5599999999999987</v>
      </c>
      <c r="N158" s="13">
        <v>595.17999999999995</v>
      </c>
      <c r="O158" s="17">
        <f t="shared" si="36"/>
        <v>5.6265749281107963E-6</v>
      </c>
      <c r="P158" s="19">
        <f t="shared" si="37"/>
        <v>5.619659966409302E-6</v>
      </c>
      <c r="Q158" s="11">
        <f t="shared" si="38"/>
        <v>595.19417906155024</v>
      </c>
      <c r="R158" s="15">
        <f t="shared" si="39"/>
        <v>1.4179061550294136E-2</v>
      </c>
      <c r="S158" s="16">
        <f t="shared" si="40"/>
        <v>2.3822581014854016E-3</v>
      </c>
      <c r="V158" s="14">
        <v>0.01</v>
      </c>
      <c r="W158" s="9">
        <v>0.56000000000000005</v>
      </c>
      <c r="X158" s="6">
        <v>1400</v>
      </c>
      <c r="AC158" s="5">
        <v>23.207099916076665</v>
      </c>
      <c r="AE158">
        <v>3</v>
      </c>
      <c r="AG158" s="13"/>
      <c r="AH158" s="13"/>
      <c r="AI158" s="10"/>
      <c r="AJ158" s="13">
        <v>693</v>
      </c>
      <c r="AK158" s="13">
        <v>693</v>
      </c>
      <c r="AL158" s="10">
        <v>-7.9937865933803365E-2</v>
      </c>
      <c r="AM158" s="1">
        <v>19.299999237060547</v>
      </c>
      <c r="AN158" s="2">
        <v>39</v>
      </c>
      <c r="AO158" s="3">
        <v>5.440000057220459</v>
      </c>
      <c r="AP158" s="3">
        <v>5.440000057220459</v>
      </c>
      <c r="AR158" s="1">
        <v>-11.060000000000002</v>
      </c>
      <c r="AS158" s="1">
        <v>-12.959999999999999</v>
      </c>
      <c r="AT158" s="1">
        <v>-4.5800000000000027</v>
      </c>
      <c r="AU158">
        <v>1</v>
      </c>
      <c r="AV158" s="7">
        <v>0.89000000000000079</v>
      </c>
      <c r="AW158" s="3">
        <v>5.440000057220459</v>
      </c>
      <c r="AX158" s="7">
        <v>0.30757474972141913</v>
      </c>
      <c r="AZ158" s="10">
        <v>0.11</v>
      </c>
      <c r="CD158" s="10">
        <v>0.11</v>
      </c>
      <c r="CE158" s="10">
        <v>0</v>
      </c>
      <c r="CF158" s="10">
        <v>0.2198</v>
      </c>
      <c r="CG158">
        <v>475</v>
      </c>
      <c r="CH158" s="13">
        <v>693</v>
      </c>
      <c r="CI158" s="13">
        <v>693</v>
      </c>
      <c r="CJ158">
        <v>0</v>
      </c>
      <c r="CK158">
        <v>46</v>
      </c>
      <c r="CL158">
        <v>0.10000000149011612</v>
      </c>
      <c r="CM158" s="1">
        <v>19.299999237060547</v>
      </c>
      <c r="CR158">
        <v>4191.0380859375</v>
      </c>
      <c r="CS158">
        <v>1.2232491144459345E-6</v>
      </c>
      <c r="CT158">
        <v>0.60567116737365723</v>
      </c>
    </row>
    <row r="159" spans="1:98" x14ac:dyDescent="0.3">
      <c r="A159" s="4">
        <v>4.87</v>
      </c>
      <c r="B159" s="6">
        <v>1360</v>
      </c>
      <c r="C159" s="5">
        <v>26.75</v>
      </c>
      <c r="D159">
        <v>2</v>
      </c>
      <c r="E159">
        <v>4</v>
      </c>
      <c r="F159">
        <v>675</v>
      </c>
      <c r="G159" s="12">
        <v>367.9</v>
      </c>
      <c r="H159" s="5">
        <v>17.03</v>
      </c>
      <c r="I159" s="5">
        <v>18.93</v>
      </c>
      <c r="J159" s="5">
        <v>28.01</v>
      </c>
      <c r="K159" s="5">
        <f t="shared" si="33"/>
        <v>17.98</v>
      </c>
      <c r="L159" s="5">
        <f t="shared" si="34"/>
        <v>1.8999999999999986</v>
      </c>
      <c r="M159" s="5">
        <f t="shared" si="35"/>
        <v>10.030000000000001</v>
      </c>
      <c r="N159" s="13">
        <v>741.19</v>
      </c>
      <c r="O159" s="17">
        <f t="shared" si="36"/>
        <v>5.6333572893878103E-6</v>
      </c>
      <c r="P159" s="19">
        <f t="shared" si="37"/>
        <v>5.6269566132613229E-6</v>
      </c>
      <c r="Q159" s="11">
        <f t="shared" si="38"/>
        <v>740.3829352844599</v>
      </c>
      <c r="R159" s="15">
        <f t="shared" si="39"/>
        <v>0.80706471554015025</v>
      </c>
      <c r="S159" s="16">
        <f t="shared" si="40"/>
        <v>0.10900639075779317</v>
      </c>
      <c r="V159" s="14">
        <v>0.01</v>
      </c>
      <c r="W159" s="9">
        <v>0.86</v>
      </c>
      <c r="X159" s="6">
        <v>1400</v>
      </c>
      <c r="AC159" s="5">
        <v>22.538400102996825</v>
      </c>
      <c r="AE159">
        <v>3</v>
      </c>
      <c r="AG159" s="13"/>
      <c r="AH159" s="13"/>
      <c r="AI159" s="10"/>
      <c r="AJ159" s="13">
        <v>704</v>
      </c>
      <c r="AK159" s="13">
        <v>704</v>
      </c>
      <c r="AL159" s="10">
        <v>1.0807121324156732E-3</v>
      </c>
      <c r="AM159" s="1">
        <v>18.100000381469727</v>
      </c>
      <c r="AN159" s="2">
        <v>44</v>
      </c>
      <c r="AO159" s="3">
        <v>5.5999999046325684</v>
      </c>
      <c r="AP159" s="3">
        <v>5.5999999046325684</v>
      </c>
      <c r="AR159" s="1">
        <v>-9.0350000000000001</v>
      </c>
      <c r="AS159" s="1">
        <v>-6.0500000000000025</v>
      </c>
      <c r="AT159" s="1">
        <v>-6.0099999999999989</v>
      </c>
      <c r="AU159">
        <v>3</v>
      </c>
      <c r="AV159" s="7">
        <v>0.72999999999999976</v>
      </c>
      <c r="AW159" s="3">
        <v>5.5999999046325684</v>
      </c>
      <c r="AX159" s="7">
        <v>0.329630412202916</v>
      </c>
      <c r="AZ159" s="10">
        <v>0.27</v>
      </c>
      <c r="CD159" s="10">
        <v>0.27</v>
      </c>
      <c r="CE159" s="10">
        <v>0</v>
      </c>
      <c r="CF159" s="10">
        <v>0.21379999999999999</v>
      </c>
      <c r="CG159">
        <v>475</v>
      </c>
      <c r="CH159" s="13">
        <v>704</v>
      </c>
      <c r="CI159" s="13">
        <v>704</v>
      </c>
      <c r="CJ159">
        <v>0</v>
      </c>
      <c r="CK159">
        <v>100</v>
      </c>
      <c r="CL159">
        <v>0.30000001192092896</v>
      </c>
      <c r="CM159" s="1">
        <v>18.100000381469727</v>
      </c>
      <c r="CR159">
        <v>4191.6162109375</v>
      </c>
      <c r="CS159">
        <v>1.141597977039055E-6</v>
      </c>
      <c r="CT159">
        <v>0.60952591896057129</v>
      </c>
    </row>
    <row r="160" spans="1:98" x14ac:dyDescent="0.3">
      <c r="A160" s="4">
        <v>6</v>
      </c>
      <c r="B160" s="6">
        <v>1360</v>
      </c>
      <c r="C160" s="5">
        <v>21.04</v>
      </c>
      <c r="D160">
        <v>2</v>
      </c>
      <c r="E160">
        <v>4</v>
      </c>
      <c r="F160">
        <v>742</v>
      </c>
      <c r="G160" s="12">
        <v>414.5</v>
      </c>
      <c r="H160" s="5">
        <v>8.02</v>
      </c>
      <c r="I160" s="5">
        <v>13.38</v>
      </c>
      <c r="J160" s="5">
        <v>21.91</v>
      </c>
      <c r="K160" s="5">
        <f t="shared" si="33"/>
        <v>10.7</v>
      </c>
      <c r="L160" s="5">
        <f t="shared" si="34"/>
        <v>5.3600000000000012</v>
      </c>
      <c r="M160" s="5">
        <f t="shared" si="35"/>
        <v>11.21</v>
      </c>
      <c r="N160" s="13">
        <v>793.05</v>
      </c>
      <c r="O160" s="17">
        <f t="shared" si="36"/>
        <v>5.5705197643346555E-6</v>
      </c>
      <c r="P160" s="19">
        <f t="shared" si="37"/>
        <v>5.5625168492227935E-6</v>
      </c>
      <c r="Q160" s="11">
        <f t="shared" si="38"/>
        <v>800.89451911428841</v>
      </c>
      <c r="R160" s="15">
        <f t="shared" si="39"/>
        <v>7.8445191142884596</v>
      </c>
      <c r="S160" s="16">
        <f t="shared" si="40"/>
        <v>0.97946969632951575</v>
      </c>
      <c r="V160" s="14">
        <v>0.01</v>
      </c>
      <c r="W160" s="9">
        <v>0.9</v>
      </c>
      <c r="X160" s="6">
        <v>1400</v>
      </c>
      <c r="AC160" s="5">
        <v>21.957350037193297</v>
      </c>
      <c r="AE160">
        <v>3</v>
      </c>
      <c r="AG160" s="13"/>
      <c r="AH160" s="13"/>
      <c r="AI160" s="10"/>
      <c r="AJ160" s="13">
        <v>1053</v>
      </c>
      <c r="AK160" s="13">
        <v>1053</v>
      </c>
      <c r="AL160" s="10">
        <v>-1.9335759781619055E-3</v>
      </c>
      <c r="AM160" s="1">
        <v>15.300000190734863</v>
      </c>
      <c r="AN160" s="2">
        <v>50</v>
      </c>
      <c r="AO160" s="3">
        <v>5.3899998664855957</v>
      </c>
      <c r="AP160" s="3">
        <v>5.3899998664855957</v>
      </c>
      <c r="AR160" s="1">
        <v>-10.375</v>
      </c>
      <c r="AS160" s="1">
        <v>-2.2699999999999996</v>
      </c>
      <c r="AT160" s="1">
        <v>-9.24</v>
      </c>
      <c r="AU160">
        <v>3</v>
      </c>
      <c r="AV160" s="7">
        <v>0.80499999999999983</v>
      </c>
      <c r="AW160" s="3">
        <v>5.3899998664855957</v>
      </c>
      <c r="AX160" s="7">
        <v>0.32880465581255919</v>
      </c>
      <c r="AZ160" s="10">
        <v>0.19500000000000001</v>
      </c>
      <c r="CD160" s="10">
        <v>0.19500000000000001</v>
      </c>
      <c r="CE160" s="10">
        <v>0</v>
      </c>
      <c r="CF160" s="10">
        <v>0.2195</v>
      </c>
      <c r="CG160">
        <v>475</v>
      </c>
      <c r="CH160" s="13">
        <v>1053</v>
      </c>
      <c r="CI160" s="13">
        <v>1053</v>
      </c>
      <c r="CJ160">
        <v>0</v>
      </c>
      <c r="CK160">
        <v>399</v>
      </c>
      <c r="CL160">
        <v>4</v>
      </c>
      <c r="CM160" s="1">
        <v>15.300000190734863</v>
      </c>
      <c r="CR160">
        <v>4191.1748046875</v>
      </c>
      <c r="CS160">
        <v>1.2042033858961076E-6</v>
      </c>
      <c r="CT160">
        <v>0.60654681921005249</v>
      </c>
    </row>
    <row r="161" spans="1:98" x14ac:dyDescent="0.3">
      <c r="A161" s="4">
        <v>6</v>
      </c>
      <c r="B161" s="6">
        <v>1360</v>
      </c>
      <c r="C161" s="5">
        <v>21.95</v>
      </c>
      <c r="D161">
        <v>2</v>
      </c>
      <c r="E161">
        <v>4</v>
      </c>
      <c r="F161">
        <v>743</v>
      </c>
      <c r="G161" s="12">
        <v>415.4</v>
      </c>
      <c r="H161" s="5">
        <v>10.039999999999999</v>
      </c>
      <c r="I161" s="5">
        <v>12.92</v>
      </c>
      <c r="J161" s="5">
        <v>23.06</v>
      </c>
      <c r="K161" s="5">
        <f t="shared" si="33"/>
        <v>11.48</v>
      </c>
      <c r="L161" s="5">
        <f t="shared" si="34"/>
        <v>2.8800000000000008</v>
      </c>
      <c r="M161" s="5">
        <f t="shared" si="35"/>
        <v>11.579999999999998</v>
      </c>
      <c r="N161" s="13">
        <v>999.53</v>
      </c>
      <c r="O161" s="17">
        <f t="shared" si="36"/>
        <v>6.1378713685514164E-6</v>
      </c>
      <c r="P161" s="19">
        <f t="shared" si="37"/>
        <v>6.1308707407591111E-6</v>
      </c>
      <c r="Q161" s="11">
        <f t="shared" si="38"/>
        <v>916.27511462892687</v>
      </c>
      <c r="R161" s="15">
        <f t="shared" si="39"/>
        <v>83.254885371073101</v>
      </c>
      <c r="S161" s="16">
        <f t="shared" si="40"/>
        <v>9.0862322944118787</v>
      </c>
      <c r="V161" s="14">
        <v>0.01</v>
      </c>
      <c r="W161" s="9">
        <v>0.9</v>
      </c>
      <c r="X161" s="6">
        <v>1400</v>
      </c>
      <c r="AC161" s="5">
        <v>20.559139954605104</v>
      </c>
      <c r="AE161">
        <v>3</v>
      </c>
      <c r="AG161" s="13"/>
      <c r="AH161" s="13"/>
      <c r="AI161" s="10"/>
      <c r="AJ161" s="13">
        <v>1340</v>
      </c>
      <c r="AK161" s="13">
        <v>1340</v>
      </c>
      <c r="AL161" s="10">
        <v>-3.0429509928650011E-3</v>
      </c>
      <c r="AM161" s="1">
        <v>12.199999809265137</v>
      </c>
      <c r="AN161" s="2">
        <v>60</v>
      </c>
      <c r="AO161" s="3">
        <v>5.2600002288818359</v>
      </c>
      <c r="AP161" s="3">
        <v>5.2600002288818359</v>
      </c>
      <c r="AR161" s="1">
        <v>-13.755000000000003</v>
      </c>
      <c r="AS161" s="1">
        <v>-2.8899999999999997</v>
      </c>
      <c r="AT161" s="1">
        <v>-12.310000000000002</v>
      </c>
      <c r="AU161">
        <v>3</v>
      </c>
      <c r="AV161" s="7">
        <v>0.76200000000000001</v>
      </c>
      <c r="AW161" s="3">
        <v>5.2600002288818359</v>
      </c>
      <c r="AX161" s="7">
        <v>0.34968637813439651</v>
      </c>
      <c r="AZ161" s="10">
        <v>0.23799999999999999</v>
      </c>
      <c r="CD161" s="10">
        <v>0.23799999999999999</v>
      </c>
      <c r="CE161" s="10">
        <v>0</v>
      </c>
      <c r="CF161" s="10">
        <v>0.26379999999999998</v>
      </c>
      <c r="CG161">
        <v>475</v>
      </c>
      <c r="CH161" s="13">
        <v>1340</v>
      </c>
      <c r="CI161" s="13">
        <v>1340</v>
      </c>
      <c r="CJ161">
        <v>0</v>
      </c>
      <c r="CK161">
        <v>399</v>
      </c>
      <c r="CL161">
        <v>4.0999999046325684</v>
      </c>
      <c r="CM161" s="1">
        <v>12.199999809265137</v>
      </c>
      <c r="CR161">
        <v>4190.1787109375</v>
      </c>
      <c r="CS161">
        <v>1.3398837381828343E-6</v>
      </c>
      <c r="CT161">
        <v>0.60057681798934937</v>
      </c>
    </row>
    <row r="162" spans="1:98" x14ac:dyDescent="0.3">
      <c r="A162" s="4">
        <v>5.37</v>
      </c>
      <c r="B162" s="6">
        <v>1360</v>
      </c>
      <c r="C162" s="5">
        <v>21.79</v>
      </c>
      <c r="D162">
        <v>2</v>
      </c>
      <c r="E162">
        <v>4</v>
      </c>
      <c r="F162">
        <v>743</v>
      </c>
      <c r="G162" s="12">
        <v>415.3</v>
      </c>
      <c r="H162" s="5">
        <v>10</v>
      </c>
      <c r="I162" s="5">
        <v>13.12</v>
      </c>
      <c r="J162" s="5">
        <v>22.96</v>
      </c>
      <c r="K162" s="5">
        <f t="shared" si="33"/>
        <v>11.559999999999999</v>
      </c>
      <c r="L162" s="5">
        <f t="shared" si="34"/>
        <v>3.1199999999999992</v>
      </c>
      <c r="M162" s="5">
        <f t="shared" si="35"/>
        <v>11.400000000000002</v>
      </c>
      <c r="N162" s="13">
        <v>926.15</v>
      </c>
      <c r="O162" s="17">
        <f t="shared" si="36"/>
        <v>5.8519151355471962E-6</v>
      </c>
      <c r="P162" s="19">
        <f t="shared" si="37"/>
        <v>5.844792757236834E-6</v>
      </c>
      <c r="Q162" s="11">
        <f t="shared" si="38"/>
        <v>890.47504855261684</v>
      </c>
      <c r="R162" s="15">
        <f t="shared" si="39"/>
        <v>35.674951447383137</v>
      </c>
      <c r="S162" s="16">
        <f t="shared" si="40"/>
        <v>4.0062831075805549</v>
      </c>
      <c r="V162" s="14">
        <v>0.01</v>
      </c>
      <c r="W162" s="9">
        <v>0.9</v>
      </c>
      <c r="X162" s="6">
        <v>1400</v>
      </c>
      <c r="AC162" s="5">
        <v>18.251800080108644</v>
      </c>
      <c r="AE162">
        <v>3</v>
      </c>
      <c r="AG162" s="13"/>
      <c r="AH162" s="13"/>
      <c r="AI162" s="10"/>
      <c r="AJ162" s="13">
        <v>799</v>
      </c>
      <c r="AK162" s="13">
        <v>799</v>
      </c>
      <c r="AL162" s="10">
        <v>-3.9269463317334052E-3</v>
      </c>
      <c r="AM162" s="1">
        <v>10.300000190734863</v>
      </c>
      <c r="AN162" s="2">
        <v>71</v>
      </c>
      <c r="AO162" s="3">
        <v>5.5300002098083496</v>
      </c>
      <c r="AP162" s="3">
        <v>5.5300002098083496</v>
      </c>
      <c r="AR162" s="1">
        <v>-15.14</v>
      </c>
      <c r="AS162" s="1">
        <v>-1.7200000000000006</v>
      </c>
      <c r="AT162" s="1">
        <v>-14.280000000000001</v>
      </c>
      <c r="AU162">
        <v>4</v>
      </c>
      <c r="AV162" s="7">
        <v>0.58000000000000007</v>
      </c>
      <c r="AW162" s="3">
        <v>5.5300002098083496</v>
      </c>
      <c r="AX162" s="7">
        <v>0.42421877695876575</v>
      </c>
      <c r="AZ162" s="10">
        <v>0.42</v>
      </c>
      <c r="CD162" s="10">
        <v>0.42</v>
      </c>
      <c r="CE162" s="10">
        <v>0</v>
      </c>
      <c r="CF162" s="10">
        <v>0.41320000000000001</v>
      </c>
      <c r="CG162">
        <v>300</v>
      </c>
      <c r="CH162" s="13">
        <v>799</v>
      </c>
      <c r="CI162" s="13">
        <v>799</v>
      </c>
      <c r="CJ162">
        <v>0</v>
      </c>
      <c r="CK162">
        <v>399</v>
      </c>
      <c r="CL162">
        <v>4.0999999046325684</v>
      </c>
      <c r="CM162" s="1">
        <v>10.300000190734863</v>
      </c>
      <c r="CR162">
        <v>4190.01904296875</v>
      </c>
      <c r="CS162">
        <v>1.361114414066833E-6</v>
      </c>
      <c r="CT162">
        <v>0.59969377517700195</v>
      </c>
    </row>
    <row r="163" spans="1:98" x14ac:dyDescent="0.3">
      <c r="A163" s="4">
        <v>6</v>
      </c>
      <c r="B163" s="6">
        <v>1360</v>
      </c>
      <c r="C163" s="5">
        <v>23.77</v>
      </c>
      <c r="D163">
        <v>2</v>
      </c>
      <c r="E163">
        <v>4</v>
      </c>
      <c r="F163">
        <v>743</v>
      </c>
      <c r="G163" s="12">
        <v>414.2</v>
      </c>
      <c r="H163" s="5">
        <v>10.11</v>
      </c>
      <c r="I163" s="5">
        <v>20.28</v>
      </c>
      <c r="J163" s="5">
        <v>24.29</v>
      </c>
      <c r="K163" s="5">
        <f t="shared" si="33"/>
        <v>15.195</v>
      </c>
      <c r="L163" s="5">
        <f t="shared" si="34"/>
        <v>10.170000000000002</v>
      </c>
      <c r="M163" s="5">
        <f t="shared" si="35"/>
        <v>9.0949999999999989</v>
      </c>
      <c r="N163" s="13">
        <v>585.41999999999996</v>
      </c>
      <c r="O163" s="17">
        <f t="shared" si="36"/>
        <v>5.6069331959433972E-6</v>
      </c>
      <c r="P163" s="19">
        <f t="shared" si="37"/>
        <v>5.5977463721398924E-6</v>
      </c>
      <c r="Q163" s="11">
        <f t="shared" si="38"/>
        <v>587.2475838628269</v>
      </c>
      <c r="R163" s="15">
        <f t="shared" si="39"/>
        <v>1.8275838628269412</v>
      </c>
      <c r="S163" s="16">
        <f t="shared" si="40"/>
        <v>0.31121181475203263</v>
      </c>
      <c r="V163" s="14">
        <v>0.01</v>
      </c>
      <c r="W163" s="9">
        <v>0.89</v>
      </c>
      <c r="X163" s="6">
        <v>1400</v>
      </c>
      <c r="AC163" s="5">
        <v>22.565000000000001</v>
      </c>
      <c r="AE163">
        <v>3</v>
      </c>
      <c r="AG163" s="13"/>
      <c r="AH163" s="13"/>
      <c r="AI163" s="10"/>
      <c r="AJ163" s="13">
        <v>628</v>
      </c>
      <c r="AK163" s="13">
        <v>628</v>
      </c>
      <c r="AL163" s="10">
        <v>1.339371133363132E-3</v>
      </c>
      <c r="AM163" s="1">
        <v>18.5</v>
      </c>
      <c r="AN163" s="2">
        <v>42</v>
      </c>
      <c r="AO163" s="3">
        <v>5.5100002288818359</v>
      </c>
      <c r="AP163" s="3">
        <v>5.5100002288818359</v>
      </c>
      <c r="AR163" s="1">
        <v>-7.0900000000000034</v>
      </c>
      <c r="AS163" s="1">
        <v>-2.6999999999999993</v>
      </c>
      <c r="AT163" s="1">
        <v>-5.7400000000000038</v>
      </c>
      <c r="AU163">
        <v>3</v>
      </c>
      <c r="AV163" s="7">
        <v>0.75</v>
      </c>
      <c r="AW163" s="3">
        <v>5.5100002288818359</v>
      </c>
      <c r="AX163" s="7">
        <v>0.32385560039852967</v>
      </c>
      <c r="AZ163" s="10">
        <v>0.25</v>
      </c>
      <c r="CD163" s="10">
        <v>0.25</v>
      </c>
      <c r="CE163" s="10">
        <v>0</v>
      </c>
      <c r="CF163" s="10">
        <v>0.19670000000000001</v>
      </c>
      <c r="CG163">
        <v>460</v>
      </c>
      <c r="CH163" s="13">
        <v>628</v>
      </c>
      <c r="CI163" s="13">
        <v>628</v>
      </c>
      <c r="CJ163">
        <v>0</v>
      </c>
      <c r="CK163">
        <v>200</v>
      </c>
      <c r="CL163">
        <v>1.1000000238418579</v>
      </c>
      <c r="CM163" s="1">
        <v>18.5</v>
      </c>
      <c r="CR163">
        <v>4191.96142578125</v>
      </c>
      <c r="CS163">
        <v>1.0912260677287122E-6</v>
      </c>
      <c r="CT163">
        <v>0.61204802989959717</v>
      </c>
    </row>
    <row r="164" spans="1:98" x14ac:dyDescent="0.3">
      <c r="A164" s="4">
        <v>6</v>
      </c>
      <c r="B164" s="6">
        <v>1360</v>
      </c>
      <c r="C164" s="5">
        <v>23.5</v>
      </c>
      <c r="D164">
        <v>2</v>
      </c>
      <c r="E164">
        <v>4</v>
      </c>
      <c r="F164">
        <v>743</v>
      </c>
      <c r="G164" s="12">
        <v>413.9</v>
      </c>
      <c r="H164" s="5">
        <v>14.05</v>
      </c>
      <c r="I164" s="5">
        <v>17.100000000000001</v>
      </c>
      <c r="J164" s="5">
        <v>24.07</v>
      </c>
      <c r="K164" s="5">
        <f t="shared" si="33"/>
        <v>15.575000000000001</v>
      </c>
      <c r="L164" s="5">
        <f t="shared" si="34"/>
        <v>3.0500000000000007</v>
      </c>
      <c r="M164" s="5">
        <f t="shared" si="35"/>
        <v>8.4949999999999992</v>
      </c>
      <c r="N164" s="13">
        <v>667.7</v>
      </c>
      <c r="O164" s="17">
        <f t="shared" si="36"/>
        <v>5.6389049532961659E-6</v>
      </c>
      <c r="P164" s="19">
        <f t="shared" si="37"/>
        <v>5.6318173036622135E-6</v>
      </c>
      <c r="Q164" s="11">
        <f t="shared" si="38"/>
        <v>666.23543173964629</v>
      </c>
      <c r="R164" s="15">
        <f t="shared" si="39"/>
        <v>1.464568260353758</v>
      </c>
      <c r="S164" s="16">
        <f t="shared" si="40"/>
        <v>0.21982743495487789</v>
      </c>
      <c r="V164" s="14">
        <v>0.01</v>
      </c>
      <c r="W164" s="9">
        <v>0.9</v>
      </c>
      <c r="X164" s="6">
        <v>1400</v>
      </c>
      <c r="AC164" s="5">
        <v>22.8855998588562</v>
      </c>
      <c r="AE164">
        <v>3</v>
      </c>
      <c r="AG164" s="13"/>
      <c r="AH164" s="13"/>
      <c r="AI164" s="10"/>
      <c r="AJ164" s="13">
        <v>772</v>
      </c>
      <c r="AK164" s="13">
        <v>772</v>
      </c>
      <c r="AL164" s="10">
        <v>1.4788677580883647E-3</v>
      </c>
      <c r="AM164" s="1">
        <v>17.799999237060547</v>
      </c>
      <c r="AN164" s="2">
        <v>44</v>
      </c>
      <c r="AO164" s="3">
        <v>5.5500001907348633</v>
      </c>
      <c r="AP164" s="3">
        <v>5.5500001907348633</v>
      </c>
      <c r="AR164" s="1">
        <v>-7.7299999999999969</v>
      </c>
      <c r="AS164" s="1">
        <v>-1.6600000000000001</v>
      </c>
      <c r="AT164" s="1">
        <v>-6.8999999999999968</v>
      </c>
      <c r="AU164">
        <v>3</v>
      </c>
      <c r="AV164" s="7">
        <v>0.81499999999999984</v>
      </c>
      <c r="AW164" s="3">
        <v>5.5500001907348633</v>
      </c>
      <c r="AX164" s="7">
        <v>0.31990305054794926</v>
      </c>
      <c r="AZ164" s="10">
        <v>0.185</v>
      </c>
      <c r="CD164" s="10">
        <v>0.185</v>
      </c>
      <c r="CE164" s="10">
        <v>0</v>
      </c>
      <c r="CF164" s="10">
        <v>0.20349999999999999</v>
      </c>
      <c r="CG164">
        <v>460</v>
      </c>
      <c r="CH164" s="13">
        <v>772</v>
      </c>
      <c r="CI164" s="13">
        <v>772</v>
      </c>
      <c r="CJ164">
        <v>0</v>
      </c>
      <c r="CK164">
        <v>400</v>
      </c>
      <c r="CL164">
        <v>4</v>
      </c>
      <c r="CM164" s="1">
        <v>17.799999237060547</v>
      </c>
      <c r="CR164">
        <v>4191.8583984375</v>
      </c>
      <c r="CS164">
        <v>1.1064157661166973E-6</v>
      </c>
      <c r="CT164">
        <v>0.61127471923828125</v>
      </c>
    </row>
    <row r="165" spans="1:98" x14ac:dyDescent="0.3">
      <c r="A165" s="4">
        <v>6</v>
      </c>
      <c r="B165" s="6">
        <v>1360</v>
      </c>
      <c r="C165" s="5">
        <v>21.1</v>
      </c>
      <c r="D165">
        <v>2</v>
      </c>
      <c r="E165">
        <v>4</v>
      </c>
      <c r="F165">
        <v>743</v>
      </c>
      <c r="G165" s="12">
        <v>415.3</v>
      </c>
      <c r="H165" s="5">
        <v>8.0399999999999991</v>
      </c>
      <c r="I165" s="5">
        <v>13.08</v>
      </c>
      <c r="J165" s="5">
        <v>21.98</v>
      </c>
      <c r="K165" s="5">
        <f t="shared" si="33"/>
        <v>10.559999999999999</v>
      </c>
      <c r="L165" s="5">
        <f t="shared" si="34"/>
        <v>5.0400000000000009</v>
      </c>
      <c r="M165" s="5">
        <f t="shared" si="35"/>
        <v>11.420000000000002</v>
      </c>
      <c r="N165" s="13">
        <v>812.02</v>
      </c>
      <c r="O165" s="17">
        <f t="shared" si="36"/>
        <v>5.5331416353536743E-6</v>
      </c>
      <c r="P165" s="19">
        <f t="shared" si="37"/>
        <v>5.5252441391225887E-6</v>
      </c>
      <c r="Q165" s="11">
        <f t="shared" si="38"/>
        <v>825.60734603745163</v>
      </c>
      <c r="R165" s="15">
        <f t="shared" si="39"/>
        <v>13.587346037451653</v>
      </c>
      <c r="S165" s="16">
        <f t="shared" si="40"/>
        <v>1.6457394792651625</v>
      </c>
      <c r="V165" s="14">
        <v>0.01</v>
      </c>
      <c r="W165" s="9">
        <v>0.9</v>
      </c>
      <c r="X165" s="6">
        <v>1400</v>
      </c>
      <c r="AC165" s="5">
        <v>23.466249904632566</v>
      </c>
      <c r="AE165">
        <v>3</v>
      </c>
      <c r="AG165" s="13"/>
      <c r="AH165" s="13"/>
      <c r="AI165" s="10"/>
      <c r="AJ165" s="13">
        <v>639</v>
      </c>
      <c r="AK165" s="13">
        <v>639</v>
      </c>
      <c r="AL165" s="10">
        <v>8.0724542087371232E-2</v>
      </c>
      <c r="AM165" s="1">
        <v>19.799999237060547</v>
      </c>
      <c r="AN165" s="2">
        <v>39</v>
      </c>
      <c r="AO165" s="3">
        <v>5.5399999618530273</v>
      </c>
      <c r="AP165" s="3">
        <v>5.5399999618530273</v>
      </c>
      <c r="AR165" s="1">
        <v>-5.4250000000000007</v>
      </c>
      <c r="AS165" s="1">
        <v>-1.2699999999999996</v>
      </c>
      <c r="AT165" s="1">
        <v>-4.7900000000000009</v>
      </c>
      <c r="AU165">
        <v>1</v>
      </c>
      <c r="AV165" s="7">
        <v>0.87499999999999967</v>
      </c>
      <c r="AW165" s="3">
        <v>5.5399999618530273</v>
      </c>
      <c r="AX165" s="7">
        <v>0.30831618037188091</v>
      </c>
      <c r="AZ165" s="10">
        <v>0.125</v>
      </c>
      <c r="CD165" s="10">
        <v>0.125</v>
      </c>
      <c r="CE165" s="10">
        <v>0</v>
      </c>
      <c r="CF165" s="10">
        <v>8.2100000000000006E-2</v>
      </c>
      <c r="CG165">
        <v>455</v>
      </c>
      <c r="CH165" s="13">
        <v>639</v>
      </c>
      <c r="CI165" s="13">
        <v>639</v>
      </c>
      <c r="CJ165">
        <v>0</v>
      </c>
      <c r="CK165">
        <v>433</v>
      </c>
      <c r="CL165">
        <v>4.5</v>
      </c>
      <c r="CM165" s="1">
        <v>19.799999237060547</v>
      </c>
      <c r="CR165">
        <v>4192.283203125</v>
      </c>
      <c r="CS165">
        <v>1.0427503411847283E-6</v>
      </c>
      <c r="CT165">
        <v>0.61459624767303467</v>
      </c>
    </row>
    <row r="166" spans="1:98" x14ac:dyDescent="0.3">
      <c r="A166" s="4">
        <v>6</v>
      </c>
      <c r="B166" s="6">
        <v>1360</v>
      </c>
      <c r="C166" s="5">
        <v>23.37</v>
      </c>
      <c r="D166">
        <v>2</v>
      </c>
      <c r="E166">
        <v>4</v>
      </c>
      <c r="F166">
        <v>743</v>
      </c>
      <c r="G166" s="12">
        <v>415.3</v>
      </c>
      <c r="H166" s="5">
        <v>6.15</v>
      </c>
      <c r="I166" s="5">
        <v>18.88</v>
      </c>
      <c r="J166" s="5">
        <v>24.01</v>
      </c>
      <c r="K166" s="5">
        <f t="shared" si="33"/>
        <v>12.515000000000001</v>
      </c>
      <c r="L166" s="5">
        <f t="shared" si="34"/>
        <v>12.729999999999999</v>
      </c>
      <c r="M166" s="5">
        <f t="shared" si="35"/>
        <v>11.495000000000001</v>
      </c>
      <c r="N166" s="13">
        <v>737.45</v>
      </c>
      <c r="O166" s="17">
        <f t="shared" si="36"/>
        <v>5.7958314253493346E-6</v>
      </c>
      <c r="P166" s="19">
        <f t="shared" si="37"/>
        <v>5.7861893768446928E-6</v>
      </c>
      <c r="Q166" s="11">
        <f t="shared" si="38"/>
        <v>715.58420802996545</v>
      </c>
      <c r="R166" s="15">
        <f t="shared" si="39"/>
        <v>21.865791970034593</v>
      </c>
      <c r="S166" s="16">
        <f t="shared" si="40"/>
        <v>3.0556560254777043</v>
      </c>
      <c r="V166" s="14">
        <v>0.01</v>
      </c>
      <c r="W166" s="9">
        <v>0.89</v>
      </c>
      <c r="X166" s="6">
        <v>1400</v>
      </c>
      <c r="AC166" s="5">
        <v>22.174399786376956</v>
      </c>
      <c r="AE166">
        <v>3</v>
      </c>
      <c r="AG166" s="13"/>
      <c r="AH166" s="13"/>
      <c r="AI166" s="10"/>
      <c r="AJ166" s="13">
        <v>671</v>
      </c>
      <c r="AK166" s="13">
        <v>671</v>
      </c>
      <c r="AL166" s="10">
        <v>4.9423393739702615E-3</v>
      </c>
      <c r="AM166" s="1">
        <v>17.299999237060547</v>
      </c>
      <c r="AN166" s="2">
        <v>45</v>
      </c>
      <c r="AO166" s="3">
        <v>5.5500001907348633</v>
      </c>
      <c r="AP166" s="3">
        <v>5.5500001907348633</v>
      </c>
      <c r="AR166" s="1">
        <v>-8.4949999999999992</v>
      </c>
      <c r="AS166" s="1">
        <v>-3.0500000000000007</v>
      </c>
      <c r="AT166" s="1">
        <v>-6.9699999999999989</v>
      </c>
      <c r="AU166">
        <v>3</v>
      </c>
      <c r="AV166" s="7">
        <v>0.72000000000000042</v>
      </c>
      <c r="AW166" s="3">
        <v>5.5500001907348633</v>
      </c>
      <c r="AX166" s="7">
        <v>0.3340289194086668</v>
      </c>
      <c r="AZ166" s="10">
        <v>0.28000000000000003</v>
      </c>
      <c r="CD166" s="10">
        <v>0.28000000000000003</v>
      </c>
      <c r="CE166" s="10">
        <v>0</v>
      </c>
      <c r="CF166" s="10">
        <v>0.221</v>
      </c>
      <c r="CG166">
        <v>415</v>
      </c>
      <c r="CH166" s="13">
        <v>671</v>
      </c>
      <c r="CI166" s="13">
        <v>671</v>
      </c>
      <c r="CJ166">
        <v>0</v>
      </c>
      <c r="CK166">
        <v>189</v>
      </c>
      <c r="CL166">
        <v>1</v>
      </c>
      <c r="CM166" s="1">
        <v>17.299999237060547</v>
      </c>
      <c r="CR166">
        <v>4191.70751953125</v>
      </c>
      <c r="CS166">
        <v>1.1284240599707118E-6</v>
      </c>
      <c r="CT166">
        <v>0.61017405986785889</v>
      </c>
    </row>
    <row r="167" spans="1:98" x14ac:dyDescent="0.3">
      <c r="A167" s="4">
        <v>5.87</v>
      </c>
      <c r="B167" s="6">
        <v>1360</v>
      </c>
      <c r="C167" s="5">
        <v>22.71</v>
      </c>
      <c r="D167">
        <v>2</v>
      </c>
      <c r="E167">
        <v>4</v>
      </c>
      <c r="F167">
        <v>805</v>
      </c>
      <c r="G167" s="12">
        <v>458.8</v>
      </c>
      <c r="H167" s="5">
        <v>6.45</v>
      </c>
      <c r="I167" s="5">
        <v>14.8</v>
      </c>
      <c r="J167" s="5">
        <v>23.62</v>
      </c>
      <c r="K167" s="5">
        <f t="shared" si="33"/>
        <v>10.625</v>
      </c>
      <c r="L167" s="5">
        <f t="shared" si="34"/>
        <v>8.3500000000000014</v>
      </c>
      <c r="M167" s="5">
        <f t="shared" si="35"/>
        <v>12.995000000000001</v>
      </c>
      <c r="N167" s="13">
        <v>970.89</v>
      </c>
      <c r="O167" s="17">
        <f t="shared" si="36"/>
        <v>5.626875324975085E-6</v>
      </c>
      <c r="P167" s="19">
        <f t="shared" si="37"/>
        <v>5.6180705350114985E-6</v>
      </c>
      <c r="Q167" s="11">
        <f t="shared" si="38"/>
        <v>970.53521571720898</v>
      </c>
      <c r="R167" s="15">
        <f t="shared" si="39"/>
        <v>0.35478428279100171</v>
      </c>
      <c r="S167" s="16">
        <f t="shared" si="40"/>
        <v>3.6555529057102909E-2</v>
      </c>
      <c r="V167" s="14">
        <v>0.01</v>
      </c>
      <c r="W167" s="9">
        <v>0.64</v>
      </c>
      <c r="X167" s="6">
        <v>1400</v>
      </c>
      <c r="AC167" s="5">
        <v>23.787200045776366</v>
      </c>
      <c r="AE167">
        <v>3</v>
      </c>
      <c r="AG167" s="13"/>
      <c r="AH167" s="13"/>
      <c r="AI167" s="10"/>
      <c r="AJ167" s="13">
        <v>580</v>
      </c>
      <c r="AK167" s="13">
        <v>580</v>
      </c>
      <c r="AL167" s="10">
        <v>-9.258310272966308E-3</v>
      </c>
      <c r="AM167" s="1">
        <v>20.100000381469727</v>
      </c>
      <c r="AN167" s="2">
        <v>39</v>
      </c>
      <c r="AO167" s="3">
        <v>5.6399998664855957</v>
      </c>
      <c r="AP167" s="3">
        <v>5.6399998664855957</v>
      </c>
      <c r="AR167" s="1">
        <v>-9.0949999999999989</v>
      </c>
      <c r="AS167" s="1">
        <v>-10.170000000000002</v>
      </c>
      <c r="AT167" s="1">
        <v>-4.009999999999998</v>
      </c>
      <c r="AU167">
        <v>1</v>
      </c>
      <c r="AV167" s="7">
        <v>0.87999999999999989</v>
      </c>
      <c r="AW167" s="3">
        <v>5.6399998664855957</v>
      </c>
      <c r="AX167" s="7">
        <v>0.30782105918470526</v>
      </c>
      <c r="AZ167" s="10">
        <v>0.12</v>
      </c>
      <c r="CD167" s="10">
        <v>0.12</v>
      </c>
      <c r="CE167" s="10">
        <v>0</v>
      </c>
      <c r="CF167" s="10">
        <v>0.21959999999999999</v>
      </c>
      <c r="CG167">
        <v>415</v>
      </c>
      <c r="CH167" s="13">
        <v>580</v>
      </c>
      <c r="CI167" s="13">
        <v>580</v>
      </c>
      <c r="CJ167">
        <v>0</v>
      </c>
      <c r="CK167">
        <v>49</v>
      </c>
      <c r="CL167">
        <v>0.10000000149011612</v>
      </c>
      <c r="CM167" s="1">
        <v>20.100000381469727</v>
      </c>
      <c r="CR167">
        <v>4191.626953125</v>
      </c>
      <c r="CS167">
        <v>1.140054678216984E-6</v>
      </c>
      <c r="CT167">
        <v>0.60960143804550171</v>
      </c>
    </row>
    <row r="168" spans="1:98" x14ac:dyDescent="0.3">
      <c r="A168" s="4">
        <v>5.87</v>
      </c>
      <c r="B168" s="6">
        <v>1360</v>
      </c>
      <c r="C168" s="5">
        <v>26.98</v>
      </c>
      <c r="D168">
        <v>2</v>
      </c>
      <c r="E168">
        <v>4</v>
      </c>
      <c r="F168">
        <v>806</v>
      </c>
      <c r="G168" s="12">
        <v>457.9</v>
      </c>
      <c r="H168" s="5">
        <v>17.02</v>
      </c>
      <c r="I168" s="5">
        <v>19.13</v>
      </c>
      <c r="J168" s="5">
        <v>28</v>
      </c>
      <c r="K168" s="5">
        <f t="shared" si="33"/>
        <v>18.074999999999999</v>
      </c>
      <c r="L168" s="5">
        <f t="shared" si="34"/>
        <v>2.1099999999999994</v>
      </c>
      <c r="M168" s="5">
        <f t="shared" si="35"/>
        <v>9.9250000000000007</v>
      </c>
      <c r="N168" s="13">
        <v>931.99</v>
      </c>
      <c r="O168" s="17">
        <f t="shared" si="36"/>
        <v>5.6547491337723768E-6</v>
      </c>
      <c r="P168" s="19">
        <f t="shared" si="37"/>
        <v>5.6482022723152455E-6</v>
      </c>
      <c r="Q168" s="11">
        <f t="shared" si="38"/>
        <v>927.42921664896733</v>
      </c>
      <c r="R168" s="15">
        <f t="shared" si="39"/>
        <v>4.5607833510326827</v>
      </c>
      <c r="S168" s="16">
        <f t="shared" si="40"/>
        <v>0.49176619295130397</v>
      </c>
      <c r="V168" s="14">
        <v>0.01</v>
      </c>
      <c r="W168" s="9">
        <v>0.89</v>
      </c>
      <c r="X168" s="6">
        <v>1400</v>
      </c>
      <c r="AC168" s="5">
        <v>20.865400064849851</v>
      </c>
      <c r="AE168">
        <v>3</v>
      </c>
      <c r="AG168" s="13"/>
      <c r="AH168" s="13"/>
      <c r="AI168" s="10"/>
      <c r="AJ168" s="13">
        <v>743</v>
      </c>
      <c r="AK168" s="13">
        <v>743</v>
      </c>
      <c r="AL168" s="10">
        <v>-3.3400850447357078E-3</v>
      </c>
      <c r="AM168" s="1">
        <v>14.800000190734863</v>
      </c>
      <c r="AN168" s="2">
        <v>53</v>
      </c>
      <c r="AO168" s="3">
        <v>5.5300002098083496</v>
      </c>
      <c r="AP168" s="3">
        <v>5.5300002098083496</v>
      </c>
      <c r="AR168" s="1">
        <v>-11.584999999999999</v>
      </c>
      <c r="AS168" s="1">
        <v>-4.91</v>
      </c>
      <c r="AT168" s="1">
        <v>-9.129999999999999</v>
      </c>
      <c r="AU168">
        <v>4</v>
      </c>
      <c r="AV168" s="7">
        <v>0.65999999999999992</v>
      </c>
      <c r="AW168" s="3">
        <v>5.5300002098083496</v>
      </c>
      <c r="AX168" s="7">
        <v>0.36060940832010091</v>
      </c>
      <c r="AZ168" s="10">
        <v>0.34</v>
      </c>
      <c r="CD168" s="10">
        <v>0.34</v>
      </c>
      <c r="CE168" s="10">
        <v>0</v>
      </c>
      <c r="CF168" s="10">
        <v>0.31850000000000001</v>
      </c>
      <c r="CG168">
        <v>365</v>
      </c>
      <c r="CH168" s="13">
        <v>743</v>
      </c>
      <c r="CI168" s="13">
        <v>743</v>
      </c>
      <c r="CJ168">
        <v>0</v>
      </c>
      <c r="CK168">
        <v>130</v>
      </c>
      <c r="CL168">
        <v>0.5</v>
      </c>
      <c r="CM168" s="1">
        <v>14.800000190734863</v>
      </c>
      <c r="CR168">
        <v>4190.982421875</v>
      </c>
      <c r="CS168">
        <v>1.2309507155805477E-6</v>
      </c>
      <c r="CT168">
        <v>0.60532081127166748</v>
      </c>
    </row>
    <row r="169" spans="1:98" x14ac:dyDescent="0.3">
      <c r="A169" s="4">
        <v>5.87</v>
      </c>
      <c r="B169" s="6">
        <v>1360</v>
      </c>
      <c r="C169" s="5">
        <v>23.33</v>
      </c>
      <c r="D169">
        <v>2</v>
      </c>
      <c r="E169">
        <v>4</v>
      </c>
      <c r="F169">
        <v>807</v>
      </c>
      <c r="G169" s="12">
        <v>457.5</v>
      </c>
      <c r="H169" s="5">
        <v>15.48</v>
      </c>
      <c r="I169" s="5">
        <v>17.14</v>
      </c>
      <c r="J169" s="5">
        <v>24.04</v>
      </c>
      <c r="K169" s="5">
        <f t="shared" si="33"/>
        <v>16.310000000000002</v>
      </c>
      <c r="L169" s="5">
        <f t="shared" si="34"/>
        <v>1.6600000000000001</v>
      </c>
      <c r="M169" s="5">
        <f t="shared" si="35"/>
        <v>7.7299999999999969</v>
      </c>
      <c r="N169" s="13">
        <v>770.86</v>
      </c>
      <c r="O169" s="17">
        <f t="shared" si="36"/>
        <v>5.7656407662766293E-6</v>
      </c>
      <c r="P169" s="19">
        <f t="shared" si="37"/>
        <v>5.7594235909352257E-6</v>
      </c>
      <c r="Q169" s="11">
        <f t="shared" si="38"/>
        <v>752.3782609261475</v>
      </c>
      <c r="R169" s="15">
        <f t="shared" si="39"/>
        <v>18.481739073852509</v>
      </c>
      <c r="S169" s="16">
        <f t="shared" si="40"/>
        <v>2.4564424616817293</v>
      </c>
      <c r="V169" s="14">
        <v>0.01</v>
      </c>
      <c r="W169" s="9">
        <v>0.9</v>
      </c>
      <c r="X169" s="6">
        <v>1400</v>
      </c>
      <c r="AC169" s="5">
        <v>18.924739840545655</v>
      </c>
      <c r="AE169">
        <v>3</v>
      </c>
      <c r="AG169" s="13"/>
      <c r="AH169" s="13"/>
      <c r="AI169" s="10"/>
      <c r="AJ169" s="13">
        <v>698</v>
      </c>
      <c r="AK169" s="13">
        <v>698</v>
      </c>
      <c r="AL169" s="10">
        <v>2.5278639549579651E-3</v>
      </c>
      <c r="AM169" s="1">
        <v>11.899999618530273</v>
      </c>
      <c r="AN169" s="2">
        <v>64</v>
      </c>
      <c r="AO169" s="3">
        <v>5.5300002098083496</v>
      </c>
      <c r="AP169" s="3">
        <v>5.5300002098083496</v>
      </c>
      <c r="AR169" s="1">
        <v>-14.014999999999999</v>
      </c>
      <c r="AS169" s="1">
        <v>-3.9699999999999998</v>
      </c>
      <c r="AT169" s="1">
        <v>-12.03</v>
      </c>
      <c r="AU169">
        <v>4</v>
      </c>
      <c r="AV169" s="7">
        <v>0.58200000000000007</v>
      </c>
      <c r="AW169" s="3">
        <v>5.5300002098083496</v>
      </c>
      <c r="AX169" s="7">
        <v>0.40671306169984001</v>
      </c>
      <c r="AZ169" s="10">
        <v>0.41799999999999998</v>
      </c>
      <c r="CD169" s="10">
        <v>0.41799999999999998</v>
      </c>
      <c r="CE169" s="10">
        <v>0</v>
      </c>
      <c r="CF169" s="10">
        <v>0.41909999999999997</v>
      </c>
      <c r="CG169">
        <v>295</v>
      </c>
      <c r="CH169" s="13">
        <v>698</v>
      </c>
      <c r="CI169" s="13">
        <v>698</v>
      </c>
      <c r="CJ169">
        <v>0</v>
      </c>
      <c r="CK169">
        <v>151</v>
      </c>
      <c r="CL169">
        <v>0.69999998807907104</v>
      </c>
      <c r="CM169" s="1">
        <v>11.899999618530273</v>
      </c>
      <c r="CR169">
        <v>4190.3330078125</v>
      </c>
      <c r="CS169">
        <v>1.3192769756642519E-6</v>
      </c>
      <c r="CT169">
        <v>0.60144609212875366</v>
      </c>
    </row>
    <row r="170" spans="1:98" x14ac:dyDescent="0.3">
      <c r="A170" s="4">
        <v>5.87</v>
      </c>
      <c r="B170" s="6">
        <v>1360</v>
      </c>
      <c r="C170" s="5">
        <v>23.69</v>
      </c>
      <c r="D170">
        <v>2</v>
      </c>
      <c r="E170">
        <v>4</v>
      </c>
      <c r="F170">
        <v>808</v>
      </c>
      <c r="G170" s="12">
        <v>457</v>
      </c>
      <c r="H170" s="5">
        <v>17.93</v>
      </c>
      <c r="I170" s="5">
        <v>19.2</v>
      </c>
      <c r="J170" s="5">
        <v>23.99</v>
      </c>
      <c r="K170" s="5">
        <f t="shared" si="33"/>
        <v>18.564999999999998</v>
      </c>
      <c r="L170" s="5">
        <f t="shared" si="34"/>
        <v>1.2699999999999996</v>
      </c>
      <c r="M170" s="5">
        <f t="shared" si="35"/>
        <v>5.4250000000000007</v>
      </c>
      <c r="N170" s="13">
        <v>591.27</v>
      </c>
      <c r="O170" s="17">
        <f t="shared" si="36"/>
        <v>6.0221001633904891E-6</v>
      </c>
      <c r="P170" s="19">
        <f t="shared" si="37"/>
        <v>6.0162314868010926E-6</v>
      </c>
      <c r="Q170" s="11">
        <f t="shared" si="38"/>
        <v>552.55189384196933</v>
      </c>
      <c r="R170" s="15">
        <f t="shared" si="39"/>
        <v>38.71810615803065</v>
      </c>
      <c r="S170" s="16">
        <f t="shared" si="40"/>
        <v>7.0071438700206601</v>
      </c>
      <c r="V170" s="14">
        <v>0.01</v>
      </c>
      <c r="W170" s="9">
        <v>0.89</v>
      </c>
      <c r="X170" s="6">
        <v>1400</v>
      </c>
      <c r="AC170" s="5">
        <v>19.923729846267697</v>
      </c>
      <c r="AE170">
        <v>3</v>
      </c>
      <c r="AG170" s="13"/>
      <c r="AH170" s="13"/>
      <c r="AI170" s="10"/>
      <c r="AJ170" s="13">
        <v>596</v>
      </c>
      <c r="AK170" s="13">
        <v>596</v>
      </c>
      <c r="AL170" s="10">
        <v>-3.1869035039178151E-4</v>
      </c>
      <c r="AM170" s="1">
        <v>13.899999618530273</v>
      </c>
      <c r="AN170" s="2">
        <v>56</v>
      </c>
      <c r="AO170" s="3">
        <v>5.5300002098083496</v>
      </c>
      <c r="AP170" s="3">
        <v>5.5300002098083496</v>
      </c>
      <c r="AR170" s="1">
        <v>-11.889999999999997</v>
      </c>
      <c r="AS170" s="1">
        <v>-3.92</v>
      </c>
      <c r="AT170" s="1">
        <v>-9.9299999999999962</v>
      </c>
      <c r="AU170">
        <v>4</v>
      </c>
      <c r="AV170" s="7">
        <v>0.59699999999999975</v>
      </c>
      <c r="AW170" s="3">
        <v>5.5300002098083496</v>
      </c>
      <c r="AX170" s="7">
        <v>0.38220248066291312</v>
      </c>
      <c r="AZ170" s="10">
        <v>0.40300000000000002</v>
      </c>
      <c r="CD170" s="10">
        <v>0.40300000000000002</v>
      </c>
      <c r="CE170" s="10">
        <v>0</v>
      </c>
      <c r="CF170" s="10">
        <v>0.3916</v>
      </c>
      <c r="CG170">
        <v>295</v>
      </c>
      <c r="CH170" s="13">
        <v>596</v>
      </c>
      <c r="CI170" s="13">
        <v>596</v>
      </c>
      <c r="CJ170">
        <v>0</v>
      </c>
      <c r="CK170">
        <v>131</v>
      </c>
      <c r="CL170">
        <v>0.5</v>
      </c>
      <c r="CM170" s="1">
        <v>13.899999618530273</v>
      </c>
      <c r="CR170">
        <v>4190.90625</v>
      </c>
      <c r="CS170">
        <v>1.2414980119501706E-6</v>
      </c>
      <c r="CT170">
        <v>0.60484451055526733</v>
      </c>
    </row>
    <row r="171" spans="1:98" x14ac:dyDescent="0.3">
      <c r="A171" s="4">
        <v>5.87</v>
      </c>
      <c r="B171" s="6">
        <v>1360</v>
      </c>
      <c r="C171" s="5">
        <v>23.42</v>
      </c>
      <c r="D171">
        <v>2</v>
      </c>
      <c r="E171">
        <v>4</v>
      </c>
      <c r="F171">
        <v>808</v>
      </c>
      <c r="G171" s="12">
        <v>457.8</v>
      </c>
      <c r="H171" s="5">
        <v>15.48</v>
      </c>
      <c r="I171" s="5">
        <v>18.18</v>
      </c>
      <c r="J171" s="5">
        <v>23.92</v>
      </c>
      <c r="K171" s="5">
        <f t="shared" si="33"/>
        <v>16.829999999999998</v>
      </c>
      <c r="L171" s="5">
        <f t="shared" si="34"/>
        <v>2.6999999999999993</v>
      </c>
      <c r="M171" s="5">
        <f t="shared" si="35"/>
        <v>7.0900000000000034</v>
      </c>
      <c r="N171" s="13">
        <v>627.16</v>
      </c>
      <c r="O171" s="17">
        <f t="shared" si="36"/>
        <v>5.5207736567791677E-6</v>
      </c>
      <c r="P171" s="19">
        <f t="shared" si="37"/>
        <v>5.5138696793160141E-6</v>
      </c>
      <c r="Q171" s="11">
        <f t="shared" si="38"/>
        <v>639.19550164756515</v>
      </c>
      <c r="R171" s="15">
        <f t="shared" si="39"/>
        <v>12.035501647565184</v>
      </c>
      <c r="S171" s="16">
        <f t="shared" si="40"/>
        <v>1.8829140093356345</v>
      </c>
      <c r="V171" s="14">
        <v>0.01</v>
      </c>
      <c r="W171" s="9">
        <v>0.9</v>
      </c>
      <c r="X171" s="6">
        <v>1400</v>
      </c>
      <c r="AC171" s="5">
        <v>19.714299858856201</v>
      </c>
      <c r="AE171">
        <v>3</v>
      </c>
      <c r="AG171" s="13"/>
      <c r="AH171" s="13"/>
      <c r="AI171" s="10"/>
      <c r="AJ171" s="13">
        <v>903</v>
      </c>
      <c r="AK171" s="13">
        <v>903</v>
      </c>
      <c r="AL171" s="10">
        <v>-1.8349435146906012E-3</v>
      </c>
      <c r="AM171" s="1">
        <v>12.399999618530273</v>
      </c>
      <c r="AN171" s="2">
        <v>62</v>
      </c>
      <c r="AO171" s="3">
        <v>5.5300002098083496</v>
      </c>
      <c r="AP171" s="3">
        <v>5.5300002098083496</v>
      </c>
      <c r="AR171" s="1">
        <v>-13.985000000000003</v>
      </c>
      <c r="AS171" s="1">
        <v>-3.9700000000000006</v>
      </c>
      <c r="AT171" s="1">
        <v>-12.000000000000004</v>
      </c>
      <c r="AU171">
        <v>4</v>
      </c>
      <c r="AV171" s="7">
        <v>0.62999999999999989</v>
      </c>
      <c r="AW171" s="3">
        <v>5.5300002098083496</v>
      </c>
      <c r="AX171" s="7">
        <v>0.38720013589386409</v>
      </c>
      <c r="AZ171" s="10">
        <v>0.37</v>
      </c>
      <c r="CD171" s="10">
        <v>0.37</v>
      </c>
      <c r="CE171" s="10">
        <v>0</v>
      </c>
      <c r="CF171" s="10">
        <v>0.3584</v>
      </c>
      <c r="CG171">
        <v>365</v>
      </c>
      <c r="CH171" s="13">
        <v>903</v>
      </c>
      <c r="CI171" s="13">
        <v>903</v>
      </c>
      <c r="CJ171">
        <v>0</v>
      </c>
      <c r="CK171">
        <v>196</v>
      </c>
      <c r="CL171">
        <v>1.1000000238418579</v>
      </c>
      <c r="CM171" s="1">
        <v>12.399999618530273</v>
      </c>
      <c r="CR171">
        <v>4190.35302734375</v>
      </c>
      <c r="CS171">
        <v>1.3166365988581674E-6</v>
      </c>
      <c r="CT171">
        <v>0.60155832767486572</v>
      </c>
    </row>
    <row r="172" spans="1:98" x14ac:dyDescent="0.3">
      <c r="A172" s="4">
        <v>5.87</v>
      </c>
      <c r="B172" s="6">
        <v>1360</v>
      </c>
      <c r="C172" s="5">
        <v>22.9</v>
      </c>
      <c r="D172">
        <v>2</v>
      </c>
      <c r="E172">
        <v>4</v>
      </c>
      <c r="F172">
        <v>809</v>
      </c>
      <c r="G172" s="12">
        <v>462.1</v>
      </c>
      <c r="H172" s="5">
        <v>6.87</v>
      </c>
      <c r="I172" s="5">
        <v>13.03</v>
      </c>
      <c r="J172" s="5">
        <v>24.01</v>
      </c>
      <c r="K172" s="5">
        <f t="shared" si="33"/>
        <v>9.9499999999999993</v>
      </c>
      <c r="L172" s="5">
        <f t="shared" si="34"/>
        <v>6.1599999999999993</v>
      </c>
      <c r="M172" s="5">
        <f t="shared" si="35"/>
        <v>14.060000000000002</v>
      </c>
      <c r="N172" s="13">
        <v>1079.72</v>
      </c>
      <c r="O172" s="17">
        <f t="shared" si="36"/>
        <v>5.4688454734938703E-6</v>
      </c>
      <c r="P172" s="19">
        <f t="shared" si="37"/>
        <v>5.4605991131562025E-6</v>
      </c>
      <c r="Q172" s="11">
        <f t="shared" si="38"/>
        <v>1110.6242993515646</v>
      </c>
      <c r="R172" s="15">
        <f t="shared" si="39"/>
        <v>30.904299351564532</v>
      </c>
      <c r="S172" s="16">
        <f t="shared" si="40"/>
        <v>2.7826060864693747</v>
      </c>
      <c r="V172" s="14">
        <v>0.01</v>
      </c>
      <c r="W172" s="9">
        <v>0.9</v>
      </c>
      <c r="X172" s="6">
        <v>1400</v>
      </c>
      <c r="AC172" s="5">
        <v>19.839379935722352</v>
      </c>
      <c r="AE172">
        <v>3</v>
      </c>
      <c r="AG172" s="13"/>
      <c r="AH172" s="13"/>
      <c r="AI172" s="10"/>
      <c r="AJ172" s="13">
        <v>866</v>
      </c>
      <c r="AK172" s="13">
        <v>866</v>
      </c>
      <c r="AL172" s="10">
        <v>-6.4946282999514104E-2</v>
      </c>
      <c r="AM172" s="1">
        <v>13.699999809265137</v>
      </c>
      <c r="AN172" s="2">
        <v>54</v>
      </c>
      <c r="AO172" s="3">
        <v>5.1999998092651367</v>
      </c>
      <c r="AP172" s="3">
        <v>5.1999998092651367</v>
      </c>
      <c r="AR172" s="1">
        <v>-11.400000000000002</v>
      </c>
      <c r="AS172" s="1">
        <v>-3.1199999999999992</v>
      </c>
      <c r="AT172" s="1">
        <v>-9.8400000000000034</v>
      </c>
      <c r="AU172">
        <v>4</v>
      </c>
      <c r="AV172" s="7">
        <v>0.66300000000000003</v>
      </c>
      <c r="AW172" s="3">
        <v>5.1999998092651367</v>
      </c>
      <c r="AX172" s="7">
        <v>0.36146929493641833</v>
      </c>
      <c r="AZ172" s="10">
        <v>0.33700000000000002</v>
      </c>
      <c r="CD172" s="10">
        <v>0.33700000000000002</v>
      </c>
      <c r="CE172" s="10">
        <v>0</v>
      </c>
      <c r="CF172" s="10">
        <v>0.26540000000000002</v>
      </c>
      <c r="CG172">
        <v>415</v>
      </c>
      <c r="CH172" s="13">
        <v>866</v>
      </c>
      <c r="CI172" s="13">
        <v>866</v>
      </c>
      <c r="CJ172">
        <v>0</v>
      </c>
      <c r="CK172">
        <v>239</v>
      </c>
      <c r="CL172">
        <v>1.6000000238418579</v>
      </c>
      <c r="CM172" s="1">
        <v>13.699999809265137</v>
      </c>
      <c r="CR172">
        <v>4190.767578125</v>
      </c>
      <c r="CS172">
        <v>1.2604793937498471E-6</v>
      </c>
      <c r="CT172">
        <v>0.60399699211120605</v>
      </c>
    </row>
    <row r="173" spans="1:98" x14ac:dyDescent="0.3">
      <c r="A173" s="4">
        <v>7</v>
      </c>
      <c r="B173" s="6">
        <v>1360</v>
      </c>
      <c r="C173" s="5">
        <v>21.81</v>
      </c>
      <c r="D173">
        <v>2</v>
      </c>
      <c r="E173">
        <v>4</v>
      </c>
      <c r="F173">
        <v>828</v>
      </c>
      <c r="G173" s="12">
        <v>475.1</v>
      </c>
      <c r="H173" s="5">
        <v>7.97</v>
      </c>
      <c r="I173" s="5">
        <v>10.86</v>
      </c>
      <c r="J173" s="5">
        <v>23.17</v>
      </c>
      <c r="K173" s="5">
        <f t="shared" si="33"/>
        <v>9.4149999999999991</v>
      </c>
      <c r="L173" s="5">
        <f t="shared" si="34"/>
        <v>2.8899999999999997</v>
      </c>
      <c r="M173" s="5">
        <f t="shared" si="35"/>
        <v>13.755000000000003</v>
      </c>
      <c r="N173" s="13">
        <v>1344.09</v>
      </c>
      <c r="O173" s="17">
        <f t="shared" si="36"/>
        <v>5.9596436579338995E-6</v>
      </c>
      <c r="P173" s="19">
        <f t="shared" si="37"/>
        <v>5.9526378011685576E-6</v>
      </c>
      <c r="Q173" s="11">
        <f t="shared" si="38"/>
        <v>1268.9820941564974</v>
      </c>
      <c r="R173" s="15">
        <f t="shared" si="39"/>
        <v>75.107905843502522</v>
      </c>
      <c r="S173" s="16">
        <f t="shared" si="40"/>
        <v>5.9187522179678487</v>
      </c>
      <c r="V173" s="14">
        <v>0.01</v>
      </c>
      <c r="W173" s="9">
        <v>0.89</v>
      </c>
      <c r="X173" s="6">
        <v>1400</v>
      </c>
      <c r="AC173" s="5">
        <v>19.341280057983397</v>
      </c>
      <c r="AE173">
        <v>3</v>
      </c>
      <c r="AG173" s="13"/>
      <c r="AH173" s="13"/>
      <c r="AI173" s="10"/>
      <c r="AJ173" s="13">
        <v>853</v>
      </c>
      <c r="AK173" s="13">
        <v>853</v>
      </c>
      <c r="AL173" s="10">
        <v>5.0466737272480966E-2</v>
      </c>
      <c r="AM173" s="1">
        <v>13.300000190734863</v>
      </c>
      <c r="AN173" s="2">
        <v>52</v>
      </c>
      <c r="AO173" s="3">
        <v>4.9000000953674316</v>
      </c>
      <c r="AP173" s="3">
        <v>4.9000000953674316</v>
      </c>
      <c r="AR173" s="1">
        <v>-11.420000000000002</v>
      </c>
      <c r="AS173" s="1">
        <v>-5.0400000000000009</v>
      </c>
      <c r="AT173" s="1">
        <v>-8.9000000000000021</v>
      </c>
      <c r="AU173">
        <v>4</v>
      </c>
      <c r="AV173" s="7">
        <v>0.69599999999999973</v>
      </c>
      <c r="AW173" s="3">
        <v>4.9000000953674316</v>
      </c>
      <c r="AX173" s="7">
        <v>0.35149109441587245</v>
      </c>
      <c r="AZ173" s="10">
        <v>0.30399999999999999</v>
      </c>
      <c r="CD173" s="10">
        <v>0.30399999999999999</v>
      </c>
      <c r="CE173" s="10">
        <v>0</v>
      </c>
      <c r="CF173" s="10">
        <v>0.27300000000000002</v>
      </c>
      <c r="CG173">
        <v>415</v>
      </c>
      <c r="CH173" s="13">
        <v>853</v>
      </c>
      <c r="CI173" s="13">
        <v>853</v>
      </c>
      <c r="CJ173">
        <v>0</v>
      </c>
      <c r="CK173">
        <v>145</v>
      </c>
      <c r="CL173">
        <v>0.69999998807907104</v>
      </c>
      <c r="CM173" s="1">
        <v>13.300000190734863</v>
      </c>
      <c r="CR173">
        <v>4190.5009765625</v>
      </c>
      <c r="CS173">
        <v>1.2966880831299932E-6</v>
      </c>
      <c r="CT173">
        <v>0.6024133563041687</v>
      </c>
    </row>
    <row r="174" spans="1:98" x14ac:dyDescent="0.3">
      <c r="A174" s="4">
        <v>7</v>
      </c>
      <c r="B174" s="6">
        <v>1360</v>
      </c>
      <c r="C174" s="5">
        <v>22.69</v>
      </c>
      <c r="D174">
        <v>2</v>
      </c>
      <c r="E174">
        <v>4</v>
      </c>
      <c r="F174">
        <v>828</v>
      </c>
      <c r="G174" s="12">
        <v>473.3</v>
      </c>
      <c r="H174" s="5">
        <v>12.06</v>
      </c>
      <c r="I174" s="5">
        <v>14.33</v>
      </c>
      <c r="J174" s="5">
        <v>23.57</v>
      </c>
      <c r="K174" s="5">
        <f t="shared" si="33"/>
        <v>13.195</v>
      </c>
      <c r="L174" s="5">
        <f t="shared" si="34"/>
        <v>2.2699999999999996</v>
      </c>
      <c r="M174" s="5">
        <f t="shared" si="35"/>
        <v>10.375</v>
      </c>
      <c r="N174" s="13">
        <v>1055.04</v>
      </c>
      <c r="O174" s="17">
        <f t="shared" si="36"/>
        <v>5.963344487513331E-6</v>
      </c>
      <c r="P174" s="19">
        <f t="shared" si="37"/>
        <v>5.9566937325639857E-6</v>
      </c>
      <c r="Q174" s="11">
        <f t="shared" si="38"/>
        <v>995.52890055552257</v>
      </c>
      <c r="R174" s="15">
        <f t="shared" si="39"/>
        <v>59.511099444477395</v>
      </c>
      <c r="S174" s="16">
        <f t="shared" si="40"/>
        <v>5.9778374501502807</v>
      </c>
      <c r="V174" s="14">
        <v>0.01</v>
      </c>
      <c r="W174" s="9">
        <v>0.89</v>
      </c>
      <c r="X174" s="6">
        <v>1400</v>
      </c>
      <c r="AC174" s="5">
        <v>17.488944</v>
      </c>
      <c r="AE174">
        <v>3</v>
      </c>
      <c r="AG174" s="13"/>
      <c r="AH174" s="13"/>
      <c r="AI174" s="10"/>
      <c r="AJ174" s="13">
        <v>393</v>
      </c>
      <c r="AK174" s="13">
        <v>393</v>
      </c>
      <c r="AL174" s="10">
        <v>-3.7637436638342736E-2</v>
      </c>
      <c r="AM174" s="1">
        <v>11</v>
      </c>
      <c r="AN174" s="2">
        <v>68</v>
      </c>
      <c r="AO174" s="3">
        <v>5.4800000190734863</v>
      </c>
      <c r="AP174" s="3">
        <v>5.4800000190734863</v>
      </c>
      <c r="AR174" s="1">
        <v>-14.829999999999998</v>
      </c>
      <c r="AS174" s="1">
        <v>-6.0200000000000005</v>
      </c>
      <c r="AT174" s="1">
        <v>-11.819999999999999</v>
      </c>
      <c r="AU174">
        <v>3</v>
      </c>
      <c r="AV174" s="7">
        <v>0.50380000000000003</v>
      </c>
      <c r="AW174" s="3">
        <v>5.4800000190734863</v>
      </c>
      <c r="AX174" s="7">
        <v>0.44110569226986063</v>
      </c>
      <c r="AZ174" s="10">
        <v>0.49619999999999997</v>
      </c>
      <c r="CD174" s="10">
        <v>0.49619999999999997</v>
      </c>
      <c r="CE174" s="10">
        <v>0</v>
      </c>
      <c r="CF174" s="10">
        <v>0.49619999999999997</v>
      </c>
      <c r="CG174">
        <v>175</v>
      </c>
      <c r="CH174" s="13">
        <v>393</v>
      </c>
      <c r="CI174" s="13">
        <v>393</v>
      </c>
      <c r="CJ174">
        <v>0</v>
      </c>
      <c r="CK174">
        <v>56</v>
      </c>
      <c r="CL174">
        <v>0.10000000149011612</v>
      </c>
      <c r="CM174" s="1">
        <v>11</v>
      </c>
      <c r="CR174">
        <v>4190.072265625</v>
      </c>
      <c r="CS174">
        <v>1.354053893010132E-6</v>
      </c>
      <c r="CT174">
        <v>0.59998607635498047</v>
      </c>
    </row>
    <row r="175" spans="1:98" x14ac:dyDescent="0.3">
      <c r="A175" s="4">
        <v>7</v>
      </c>
      <c r="B175" s="6">
        <v>1360</v>
      </c>
      <c r="C175" s="5">
        <v>23.64</v>
      </c>
      <c r="D175">
        <v>2</v>
      </c>
      <c r="E175">
        <v>4</v>
      </c>
      <c r="F175">
        <v>829</v>
      </c>
      <c r="G175" s="12">
        <v>473.3</v>
      </c>
      <c r="H175" s="5">
        <v>12.12</v>
      </c>
      <c r="I175" s="5">
        <v>18.170000000000002</v>
      </c>
      <c r="J175" s="5">
        <v>24.18</v>
      </c>
      <c r="K175" s="5">
        <f t="shared" si="33"/>
        <v>15.145</v>
      </c>
      <c r="L175" s="5">
        <f t="shared" si="34"/>
        <v>6.0500000000000025</v>
      </c>
      <c r="M175" s="5">
        <f t="shared" si="35"/>
        <v>9.0350000000000001</v>
      </c>
      <c r="N175" s="13">
        <v>703.24</v>
      </c>
      <c r="O175" s="17">
        <f t="shared" si="36"/>
        <v>5.3350617464221738E-6</v>
      </c>
      <c r="P175" s="19">
        <f t="shared" si="37"/>
        <v>5.3268473309585236E-6</v>
      </c>
      <c r="Q175" s="11">
        <f t="shared" si="38"/>
        <v>741.51212803555632</v>
      </c>
      <c r="R175" s="15">
        <f t="shared" si="39"/>
        <v>38.272128035556307</v>
      </c>
      <c r="S175" s="16">
        <f t="shared" si="40"/>
        <v>5.1613623821566312</v>
      </c>
      <c r="V175" s="14">
        <v>0.01</v>
      </c>
      <c r="W175" s="9">
        <v>0.89</v>
      </c>
      <c r="X175" s="6">
        <v>1400</v>
      </c>
      <c r="AC175" s="5">
        <v>18.965499904823304</v>
      </c>
      <c r="AE175">
        <v>3</v>
      </c>
      <c r="AG175" s="13"/>
      <c r="AH175" s="13"/>
      <c r="AI175" s="10"/>
      <c r="AJ175" s="13">
        <v>477</v>
      </c>
      <c r="AK175" s="13">
        <v>477</v>
      </c>
      <c r="AL175" s="10">
        <v>-5.430321774817104E-2</v>
      </c>
      <c r="AM175" s="1">
        <v>11.199999809265137</v>
      </c>
      <c r="AN175" s="2">
        <v>79</v>
      </c>
      <c r="AO175" s="3">
        <v>6.5</v>
      </c>
      <c r="AP175" s="3">
        <v>6.5</v>
      </c>
      <c r="AR175" s="1">
        <v>-17.225000000000001</v>
      </c>
      <c r="AS175" s="1">
        <v>-5.0100000000000007</v>
      </c>
      <c r="AT175" s="1">
        <v>-14.72</v>
      </c>
      <c r="AU175">
        <v>4</v>
      </c>
      <c r="AV175" s="7">
        <v>0.50100000000000011</v>
      </c>
      <c r="AW175" s="3">
        <v>6.5</v>
      </c>
      <c r="AX175" s="7">
        <v>0.47610201090835902</v>
      </c>
      <c r="AZ175" s="10">
        <v>0.499</v>
      </c>
      <c r="CD175" s="10">
        <v>0.499</v>
      </c>
      <c r="CE175" s="10">
        <v>0</v>
      </c>
      <c r="CF175" s="10">
        <v>0.499</v>
      </c>
      <c r="CG175">
        <v>180</v>
      </c>
      <c r="CH175" s="13">
        <v>477</v>
      </c>
      <c r="CI175" s="13">
        <v>477</v>
      </c>
      <c r="CJ175">
        <v>0</v>
      </c>
      <c r="CK175">
        <v>82</v>
      </c>
      <c r="CL175">
        <v>0.20000000298023224</v>
      </c>
      <c r="CM175" s="1">
        <v>11.199999809265137</v>
      </c>
      <c r="CR175">
        <v>4190.1962890625</v>
      </c>
      <c r="CS175">
        <v>1.3375731668929802E-6</v>
      </c>
      <c r="CT175">
        <v>0.60067367553710938</v>
      </c>
    </row>
    <row r="176" spans="1:98" x14ac:dyDescent="0.3">
      <c r="A176" s="4">
        <v>7</v>
      </c>
      <c r="B176" s="6">
        <v>1360</v>
      </c>
      <c r="C176" s="5">
        <v>23.1</v>
      </c>
      <c r="D176">
        <v>2</v>
      </c>
      <c r="E176">
        <v>4</v>
      </c>
      <c r="F176">
        <v>829</v>
      </c>
      <c r="G176" s="12">
        <v>474.3</v>
      </c>
      <c r="H176" s="5">
        <v>6.15</v>
      </c>
      <c r="I176" s="5">
        <v>19.11</v>
      </c>
      <c r="J176" s="5">
        <v>23.69</v>
      </c>
      <c r="K176" s="5">
        <f t="shared" si="33"/>
        <v>12.629999999999999</v>
      </c>
      <c r="L176" s="5">
        <f t="shared" si="34"/>
        <v>12.959999999999999</v>
      </c>
      <c r="M176" s="5">
        <f t="shared" si="35"/>
        <v>11.060000000000002</v>
      </c>
      <c r="N176" s="13">
        <v>753.21</v>
      </c>
      <c r="O176" s="17">
        <f t="shared" si="36"/>
        <v>5.2786858041213829E-6</v>
      </c>
      <c r="P176" s="19">
        <f t="shared" si="37"/>
        <v>5.2690064928464876E-6</v>
      </c>
      <c r="Q176" s="11">
        <f t="shared" si="38"/>
        <v>802.47460928205646</v>
      </c>
      <c r="R176" s="15">
        <f t="shared" si="39"/>
        <v>49.264609282056426</v>
      </c>
      <c r="S176" s="16">
        <f t="shared" si="40"/>
        <v>6.1390863601443524</v>
      </c>
      <c r="V176" s="14">
        <v>0.01</v>
      </c>
      <c r="W176" s="9">
        <v>0.9</v>
      </c>
      <c r="X176" s="6">
        <v>1400</v>
      </c>
      <c r="AC176" s="5">
        <v>26.776999980926512</v>
      </c>
      <c r="AE176">
        <v>3</v>
      </c>
      <c r="AG176" s="13"/>
      <c r="AH176" s="13"/>
      <c r="AI176" s="10"/>
      <c r="AJ176" s="13">
        <v>1179</v>
      </c>
      <c r="AK176" s="13">
        <v>1179</v>
      </c>
      <c r="AL176" s="10">
        <v>9.6550377142644583E-2</v>
      </c>
      <c r="AM176" s="1">
        <v>21.399999618530273</v>
      </c>
      <c r="AN176" s="2">
        <v>42</v>
      </c>
      <c r="AO176" s="3">
        <v>6.6599998474121094</v>
      </c>
      <c r="AP176" s="3">
        <v>6.6599998474121094</v>
      </c>
      <c r="AR176" s="1">
        <v>-7.98</v>
      </c>
      <c r="AS176" s="1">
        <v>-2.2200000000000024</v>
      </c>
      <c r="AT176" s="1">
        <v>-6.8699999999999992</v>
      </c>
      <c r="AU176">
        <v>1</v>
      </c>
      <c r="AV176" s="7">
        <v>0.94999999999999984</v>
      </c>
      <c r="AW176" s="3">
        <v>6.6599998474121094</v>
      </c>
      <c r="AX176" s="7">
        <v>0.30375921105069903</v>
      </c>
      <c r="AZ176" s="10">
        <v>0.05</v>
      </c>
      <c r="CD176" s="10">
        <v>0.05</v>
      </c>
      <c r="CE176" s="10">
        <v>0</v>
      </c>
      <c r="CF176" s="10">
        <v>8.8700000000000001E-2</v>
      </c>
      <c r="CG176">
        <v>630</v>
      </c>
      <c r="CH176" s="13">
        <v>1179</v>
      </c>
      <c r="CI176" s="13">
        <v>1179</v>
      </c>
      <c r="CJ176">
        <v>0</v>
      </c>
      <c r="CK176">
        <v>457</v>
      </c>
      <c r="CL176">
        <v>5</v>
      </c>
      <c r="CM176" s="1">
        <v>21.399999618530273</v>
      </c>
      <c r="CR176">
        <v>4192.373046875</v>
      </c>
      <c r="CS176">
        <v>1.0289930969520356E-6</v>
      </c>
      <c r="CT176">
        <v>0.61534339189529419</v>
      </c>
    </row>
    <row r="177" spans="1:98" x14ac:dyDescent="0.3">
      <c r="A177" s="4">
        <v>6.87</v>
      </c>
      <c r="B177" s="6">
        <v>1360</v>
      </c>
      <c r="C177" s="5">
        <v>23.05</v>
      </c>
      <c r="D177">
        <v>2</v>
      </c>
      <c r="E177">
        <v>4</v>
      </c>
      <c r="F177">
        <v>945</v>
      </c>
      <c r="G177" s="12">
        <v>555.79999999999995</v>
      </c>
      <c r="H177" s="5">
        <v>7.34</v>
      </c>
      <c r="I177" s="5">
        <v>13.31</v>
      </c>
      <c r="J177" s="5">
        <v>24</v>
      </c>
      <c r="K177" s="5">
        <f t="shared" si="33"/>
        <v>10.324999999999999</v>
      </c>
      <c r="L177" s="5">
        <f t="shared" si="34"/>
        <v>5.9700000000000006</v>
      </c>
      <c r="M177" s="5">
        <f t="shared" si="35"/>
        <v>13.675000000000001</v>
      </c>
      <c r="N177" s="13">
        <v>1225.24</v>
      </c>
      <c r="O177" s="17">
        <f t="shared" si="36"/>
        <v>5.0877346897288655E-6</v>
      </c>
      <c r="P177" s="19">
        <f t="shared" si="37"/>
        <v>5.0795437943429319E-6</v>
      </c>
      <c r="Q177" s="11">
        <f t="shared" si="38"/>
        <v>1354.7297559285944</v>
      </c>
      <c r="R177" s="15">
        <f t="shared" si="39"/>
        <v>129.48975592859438</v>
      </c>
      <c r="S177" s="16">
        <f t="shared" si="40"/>
        <v>9.5583458886850927</v>
      </c>
      <c r="V177" s="14">
        <v>0.01</v>
      </c>
      <c r="W177" s="9">
        <v>0.9</v>
      </c>
      <c r="X177" s="6">
        <v>1400</v>
      </c>
      <c r="AC177" s="5">
        <v>27.765500019073485</v>
      </c>
      <c r="AE177">
        <v>3</v>
      </c>
      <c r="AG177" s="13"/>
      <c r="AH177" s="13"/>
      <c r="AI177" s="10"/>
      <c r="AJ177" s="13">
        <v>1401</v>
      </c>
      <c r="AK177" s="13">
        <v>1401</v>
      </c>
      <c r="AL177" s="10">
        <v>6.7794672459128957E-2</v>
      </c>
      <c r="AM177" s="1">
        <v>21.600000381469727</v>
      </c>
      <c r="AN177" s="2">
        <v>44</v>
      </c>
      <c r="AO177" s="3">
        <v>7.0799999237060547</v>
      </c>
      <c r="AP177" s="3">
        <v>7.0799999237060547</v>
      </c>
      <c r="AR177" s="1">
        <v>-9</v>
      </c>
      <c r="AS177" s="1">
        <v>-2.0600000000000023</v>
      </c>
      <c r="AT177" s="1">
        <v>-7.9699999999999989</v>
      </c>
      <c r="AU177">
        <v>1</v>
      </c>
      <c r="AV177" s="7">
        <v>0.94999999999999984</v>
      </c>
      <c r="AW177" s="3">
        <v>7.0799999237060547</v>
      </c>
      <c r="AX177" s="7">
        <v>0.30453396545319533</v>
      </c>
      <c r="AZ177" s="10">
        <v>0.05</v>
      </c>
      <c r="CD177" s="10">
        <v>0.05</v>
      </c>
      <c r="CE177" s="10">
        <v>0</v>
      </c>
      <c r="CF177" s="10">
        <v>8.2400000000000001E-2</v>
      </c>
      <c r="CG177">
        <v>660</v>
      </c>
      <c r="CH177" s="13">
        <v>1401</v>
      </c>
      <c r="CI177" s="13">
        <v>1401</v>
      </c>
      <c r="CJ177">
        <v>0</v>
      </c>
      <c r="CK177">
        <v>585</v>
      </c>
      <c r="CL177">
        <v>7.6999998092651367</v>
      </c>
      <c r="CM177" s="1">
        <v>21.600000381469727</v>
      </c>
      <c r="CR177">
        <v>4192.37451171875</v>
      </c>
      <c r="CS177">
        <v>1.0287286613674951E-6</v>
      </c>
      <c r="CT177">
        <v>0.61535781621932983</v>
      </c>
    </row>
    <row r="178" spans="1:98" x14ac:dyDescent="0.3">
      <c r="A178" s="4">
        <v>6.87</v>
      </c>
      <c r="B178" s="6">
        <v>1360</v>
      </c>
      <c r="C178" s="5">
        <v>27.09</v>
      </c>
      <c r="D178">
        <v>2</v>
      </c>
      <c r="E178">
        <v>4</v>
      </c>
      <c r="F178">
        <v>946</v>
      </c>
      <c r="G178" s="12">
        <v>554.20000000000005</v>
      </c>
      <c r="H178" s="5">
        <v>17.04</v>
      </c>
      <c r="I178" s="5">
        <v>19.14</v>
      </c>
      <c r="J178" s="5">
        <v>28.01</v>
      </c>
      <c r="K178" s="5">
        <f t="shared" si="33"/>
        <v>18.09</v>
      </c>
      <c r="L178" s="5">
        <f t="shared" si="34"/>
        <v>2.1000000000000014</v>
      </c>
      <c r="M178" s="5">
        <f t="shared" si="35"/>
        <v>9.9200000000000017</v>
      </c>
      <c r="N178" s="13">
        <v>1143.31</v>
      </c>
      <c r="O178" s="17">
        <f t="shared" si="36"/>
        <v>5.5203533896880084E-6</v>
      </c>
      <c r="P178" s="19">
        <f t="shared" si="37"/>
        <v>5.5138132243370193E-6</v>
      </c>
      <c r="Q178" s="11">
        <f t="shared" si="38"/>
        <v>1165.4147275943569</v>
      </c>
      <c r="R178" s="15">
        <f t="shared" si="39"/>
        <v>22.104727594356973</v>
      </c>
      <c r="S178" s="16">
        <f t="shared" si="40"/>
        <v>1.8967262958814235</v>
      </c>
      <c r="V178" s="14">
        <v>0.01</v>
      </c>
      <c r="W178" s="9">
        <v>0.86</v>
      </c>
      <c r="X178" s="6">
        <v>1400</v>
      </c>
      <c r="AC178" s="5">
        <v>21.628120000000003</v>
      </c>
      <c r="AE178">
        <v>3</v>
      </c>
      <c r="AG178" s="13"/>
      <c r="AH178" s="13"/>
      <c r="AI178" s="10"/>
      <c r="AJ178" s="13">
        <v>430</v>
      </c>
      <c r="AK178" s="13">
        <v>430</v>
      </c>
      <c r="AL178" s="10">
        <v>0</v>
      </c>
      <c r="AM178" s="1">
        <v>14.5</v>
      </c>
      <c r="AN178" s="2">
        <v>61</v>
      </c>
      <c r="AO178" s="3">
        <v>6.2399997711181641</v>
      </c>
      <c r="AP178" s="3">
        <v>6.2399997711181641</v>
      </c>
      <c r="AR178" s="1">
        <v>-14.89</v>
      </c>
      <c r="AS178" s="1">
        <v>-10.18</v>
      </c>
      <c r="AT178" s="1">
        <v>-9.8000000000000007</v>
      </c>
      <c r="AU178">
        <v>3</v>
      </c>
      <c r="AV178" s="7">
        <v>0.62200000000000011</v>
      </c>
      <c r="AW178" s="3">
        <v>6.2399997711181641</v>
      </c>
      <c r="AX178" s="7">
        <v>0.38786612402387732</v>
      </c>
      <c r="AZ178" s="10">
        <v>0.378</v>
      </c>
      <c r="CD178" s="10">
        <v>0.378</v>
      </c>
      <c r="CE178" s="10">
        <v>0</v>
      </c>
      <c r="CF178" s="10">
        <v>0.49519999999999997</v>
      </c>
      <c r="CG178">
        <v>180</v>
      </c>
      <c r="CH178" s="13">
        <v>430</v>
      </c>
      <c r="CI178" s="13">
        <v>430</v>
      </c>
      <c r="CJ178">
        <v>0</v>
      </c>
      <c r="CK178">
        <v>36</v>
      </c>
      <c r="CL178">
        <v>0.10000000149011612</v>
      </c>
      <c r="CM178" s="1">
        <v>14.5</v>
      </c>
      <c r="CR178">
        <v>4190.638671875</v>
      </c>
      <c r="CS178">
        <v>1.2780481029039947E-6</v>
      </c>
      <c r="CT178">
        <v>0.60322332382202148</v>
      </c>
    </row>
    <row r="179" spans="1:98" x14ac:dyDescent="0.3">
      <c r="A179" s="4">
        <v>6.87</v>
      </c>
      <c r="B179" s="6">
        <v>1360</v>
      </c>
      <c r="C179" s="5">
        <v>27.7</v>
      </c>
      <c r="D179">
        <v>2</v>
      </c>
      <c r="E179">
        <v>4</v>
      </c>
      <c r="F179">
        <v>951</v>
      </c>
      <c r="G179" s="12">
        <v>557.29999999999995</v>
      </c>
      <c r="H179" s="5">
        <v>16.350000000000001</v>
      </c>
      <c r="I179" s="5">
        <v>20.87</v>
      </c>
      <c r="J179" s="5">
        <v>28.01</v>
      </c>
      <c r="K179" s="5">
        <f t="shared" si="33"/>
        <v>18.61</v>
      </c>
      <c r="L179" s="5">
        <f t="shared" si="34"/>
        <v>4.5199999999999996</v>
      </c>
      <c r="M179" s="5">
        <f t="shared" si="35"/>
        <v>9.4000000000000021</v>
      </c>
      <c r="N179" s="13">
        <v>966.65</v>
      </c>
      <c r="O179" s="17">
        <f t="shared" si="36"/>
        <v>5.5308490177771399E-6</v>
      </c>
      <c r="P179" s="19">
        <f t="shared" si="37"/>
        <v>5.5231346149853103E-6</v>
      </c>
      <c r="Q179" s="11">
        <f t="shared" si="38"/>
        <v>983.2641298748083</v>
      </c>
      <c r="R179" s="15">
        <f t="shared" si="39"/>
        <v>16.614129874808327</v>
      </c>
      <c r="S179" s="16">
        <f t="shared" si="40"/>
        <v>1.6896914440399313</v>
      </c>
      <c r="V179" s="14">
        <v>0.01</v>
      </c>
      <c r="W179" s="9">
        <v>0.63</v>
      </c>
      <c r="X179" s="6">
        <v>1400</v>
      </c>
      <c r="AC179" s="5">
        <v>22.114429768829346</v>
      </c>
      <c r="AE179">
        <v>3</v>
      </c>
      <c r="AG179" s="13"/>
      <c r="AH179" s="13"/>
      <c r="AI179" s="10"/>
      <c r="AJ179" s="13">
        <v>254</v>
      </c>
      <c r="AK179" s="13">
        <v>254</v>
      </c>
      <c r="AL179" s="10">
        <v>8.2745577051901442E-4</v>
      </c>
      <c r="AM179" s="1">
        <v>17.799999237060547</v>
      </c>
      <c r="AN179" s="2">
        <v>44</v>
      </c>
      <c r="AO179" s="3">
        <v>5.5399999618530273</v>
      </c>
      <c r="AP179" s="3">
        <v>5.5399999618530273</v>
      </c>
      <c r="AR179" s="1">
        <v>-11.469999999999999</v>
      </c>
      <c r="AS179" s="1">
        <v>-12.939999999999998</v>
      </c>
      <c r="AT179" s="1">
        <v>-5</v>
      </c>
      <c r="AU179">
        <v>3</v>
      </c>
      <c r="AV179" s="7">
        <v>0.69700000000000029</v>
      </c>
      <c r="AW179" s="3">
        <v>5.5399999618530273</v>
      </c>
      <c r="AX179" s="7">
        <v>0.33465304517933753</v>
      </c>
      <c r="AZ179" s="10">
        <v>0.30299999999999999</v>
      </c>
      <c r="CD179" s="10">
        <v>0.30299999999999999</v>
      </c>
      <c r="CE179" s="10">
        <v>0</v>
      </c>
      <c r="CF179" s="10">
        <v>0.48</v>
      </c>
      <c r="CG179">
        <v>175</v>
      </c>
      <c r="CH179" s="13">
        <v>254</v>
      </c>
      <c r="CI179" s="13">
        <v>254</v>
      </c>
      <c r="CJ179">
        <v>0</v>
      </c>
      <c r="CK179">
        <v>17</v>
      </c>
      <c r="CL179">
        <v>0</v>
      </c>
      <c r="CM179" s="1">
        <v>17.799999237060547</v>
      </c>
      <c r="CR179">
        <v>4191.01123046875</v>
      </c>
      <c r="CS179">
        <v>1.2270060096852831E-6</v>
      </c>
      <c r="CT179">
        <v>0.6054999828338623</v>
      </c>
    </row>
    <row r="180" spans="1:98" x14ac:dyDescent="0.3">
      <c r="A180" s="4">
        <v>9.8000000000000007</v>
      </c>
      <c r="B180" s="6">
        <v>1360</v>
      </c>
      <c r="C180" s="5">
        <v>26.36</v>
      </c>
      <c r="D180">
        <v>2</v>
      </c>
      <c r="E180">
        <v>4</v>
      </c>
      <c r="F180">
        <v>1055</v>
      </c>
      <c r="G180" s="12">
        <v>627.79999999999995</v>
      </c>
      <c r="H180" s="5">
        <v>17.97</v>
      </c>
      <c r="I180" s="5">
        <v>20.190000000000001</v>
      </c>
      <c r="J180" s="5">
        <v>27.06</v>
      </c>
      <c r="K180" s="5">
        <f t="shared" si="33"/>
        <v>19.079999999999998</v>
      </c>
      <c r="L180" s="5">
        <f t="shared" si="34"/>
        <v>2.2200000000000024</v>
      </c>
      <c r="M180" s="5">
        <f t="shared" si="35"/>
        <v>7.98</v>
      </c>
      <c r="N180" s="13">
        <v>1075.19</v>
      </c>
      <c r="O180" s="17">
        <f t="shared" si="36"/>
        <v>5.573137263362117E-6</v>
      </c>
      <c r="P180" s="19">
        <f t="shared" si="37"/>
        <v>5.5665183404048919E-6</v>
      </c>
      <c r="Q180" s="11">
        <f t="shared" si="38"/>
        <v>1085.5823623849235</v>
      </c>
      <c r="R180" s="15">
        <f t="shared" si="39"/>
        <v>10.392362384923445</v>
      </c>
      <c r="S180" s="16">
        <f t="shared" si="40"/>
        <v>0.95730759314220926</v>
      </c>
      <c r="V180" s="14">
        <v>0.01</v>
      </c>
      <c r="W180" s="9">
        <v>0.62</v>
      </c>
      <c r="X180" s="6">
        <v>1400</v>
      </c>
      <c r="AC180" s="5">
        <v>23.155500114440919</v>
      </c>
      <c r="AE180">
        <v>3</v>
      </c>
      <c r="AG180" s="13"/>
      <c r="AH180" s="13"/>
      <c r="AI180" s="10"/>
      <c r="AJ180" s="13">
        <v>427</v>
      </c>
      <c r="AK180" s="13">
        <v>427</v>
      </c>
      <c r="AL180" s="10">
        <v>7.0262547720023605E-5</v>
      </c>
      <c r="AM180" s="1">
        <v>18.200000762939453</v>
      </c>
      <c r="AN180" s="2">
        <v>43</v>
      </c>
      <c r="AO180" s="3">
        <v>5.5500001907348633</v>
      </c>
      <c r="AP180" s="3">
        <v>5.5500001907348633</v>
      </c>
      <c r="AR180" s="1">
        <v>-11.515000000000001</v>
      </c>
      <c r="AS180" s="1">
        <v>-13.07</v>
      </c>
      <c r="AT180" s="1">
        <v>-4.9800000000000004</v>
      </c>
      <c r="AU180">
        <v>3</v>
      </c>
      <c r="AV180" s="7">
        <v>0.85</v>
      </c>
      <c r="AW180" s="3">
        <v>5.5500001907348633</v>
      </c>
      <c r="AX180" s="7">
        <v>0.31471931862262981</v>
      </c>
      <c r="AZ180" s="10">
        <v>0.15</v>
      </c>
      <c r="CD180" s="10">
        <v>0.15</v>
      </c>
      <c r="CE180" s="10">
        <v>0</v>
      </c>
      <c r="CF180" s="10">
        <v>0.40379999999999999</v>
      </c>
      <c r="CG180">
        <v>260</v>
      </c>
      <c r="CH180" s="13">
        <v>427</v>
      </c>
      <c r="CI180" s="13">
        <v>427</v>
      </c>
      <c r="CJ180">
        <v>0</v>
      </c>
      <c r="CK180">
        <v>28</v>
      </c>
      <c r="CL180">
        <v>0</v>
      </c>
      <c r="CM180" s="1">
        <v>18.200000762939453</v>
      </c>
      <c r="CR180">
        <v>4191.009765625</v>
      </c>
      <c r="CS180">
        <v>1.2271771083760541E-6</v>
      </c>
      <c r="CT180">
        <v>0.6054922342300415</v>
      </c>
    </row>
    <row r="181" spans="1:98" x14ac:dyDescent="0.3">
      <c r="A181" s="4">
        <v>7.87</v>
      </c>
      <c r="B181" s="6">
        <v>1360</v>
      </c>
      <c r="C181" s="5">
        <v>27.78</v>
      </c>
      <c r="D181">
        <v>2</v>
      </c>
      <c r="E181">
        <v>4</v>
      </c>
      <c r="F181">
        <v>1080</v>
      </c>
      <c r="G181" s="12">
        <v>645.9</v>
      </c>
      <c r="H181" s="5">
        <v>17.059999999999999</v>
      </c>
      <c r="I181" s="5">
        <v>19.18</v>
      </c>
      <c r="J181" s="5">
        <v>27.51</v>
      </c>
      <c r="K181" s="5">
        <f t="shared" si="33"/>
        <v>18.119999999999997</v>
      </c>
      <c r="L181" s="5">
        <f t="shared" si="34"/>
        <v>2.120000000000001</v>
      </c>
      <c r="M181" s="5">
        <f t="shared" si="35"/>
        <v>9.3900000000000041</v>
      </c>
      <c r="N181" s="13">
        <v>1447.76</v>
      </c>
      <c r="O181" s="17">
        <f t="shared" si="36"/>
        <v>6.1238100537451913E-6</v>
      </c>
      <c r="P181" s="19">
        <f t="shared" si="37"/>
        <v>6.1172565210349045E-6</v>
      </c>
      <c r="Q181" s="11">
        <f t="shared" si="38"/>
        <v>1330.323339646844</v>
      </c>
      <c r="R181" s="15">
        <f t="shared" si="39"/>
        <v>117.43666035315596</v>
      </c>
      <c r="S181" s="16">
        <f t="shared" si="40"/>
        <v>8.8276779676985448</v>
      </c>
      <c r="V181" s="14">
        <v>0.01</v>
      </c>
      <c r="W181" s="9">
        <v>0.87</v>
      </c>
      <c r="X181" s="6">
        <v>1400</v>
      </c>
      <c r="AC181" s="5">
        <v>21.984799862670897</v>
      </c>
      <c r="AE181">
        <v>3</v>
      </c>
      <c r="AG181" s="13"/>
      <c r="AH181" s="13"/>
      <c r="AI181" s="10"/>
      <c r="AJ181" s="13">
        <v>634</v>
      </c>
      <c r="AK181" s="13">
        <v>634</v>
      </c>
      <c r="AL181" s="10">
        <v>1.6921966476862504E-2</v>
      </c>
      <c r="AM181" s="1">
        <v>14.899999618530273</v>
      </c>
      <c r="AN181" s="2">
        <v>59</v>
      </c>
      <c r="AO181" s="3">
        <v>6.2399997711181641</v>
      </c>
      <c r="AP181" s="3">
        <v>6.2399997711181641</v>
      </c>
      <c r="AR181" s="1">
        <v>-14.819999999999999</v>
      </c>
      <c r="AS181" s="1">
        <v>-9.7399999999999984</v>
      </c>
      <c r="AT181" s="1">
        <v>-9.9499999999999993</v>
      </c>
      <c r="AU181">
        <v>3</v>
      </c>
      <c r="AV181" s="7">
        <v>0.6399999999999999</v>
      </c>
      <c r="AW181" s="3">
        <v>6.2399997711181641</v>
      </c>
      <c r="AX181" s="7">
        <v>0.3795057564465546</v>
      </c>
      <c r="AZ181" s="10">
        <v>0.36</v>
      </c>
      <c r="CD181" s="10">
        <v>0.36</v>
      </c>
      <c r="CE181" s="10">
        <v>0</v>
      </c>
      <c r="CF181" s="10">
        <v>0.45069999999999999</v>
      </c>
      <c r="CG181">
        <v>265</v>
      </c>
      <c r="CH181" s="13">
        <v>634</v>
      </c>
      <c r="CI181" s="13">
        <v>634</v>
      </c>
      <c r="CJ181">
        <v>0</v>
      </c>
      <c r="CK181">
        <v>56</v>
      </c>
      <c r="CL181">
        <v>0.10000000149011612</v>
      </c>
      <c r="CM181" s="1">
        <v>14.899999618530273</v>
      </c>
      <c r="CR181">
        <v>4190.66015625</v>
      </c>
      <c r="CS181">
        <v>1.275157046620734E-6</v>
      </c>
      <c r="CT181">
        <v>0.60334998369216919</v>
      </c>
    </row>
    <row r="182" spans="1:98" x14ac:dyDescent="0.3">
      <c r="A182" s="4">
        <v>7.97</v>
      </c>
      <c r="B182" s="6">
        <v>1360</v>
      </c>
      <c r="C182" s="5">
        <v>27.84</v>
      </c>
      <c r="D182">
        <v>2</v>
      </c>
      <c r="E182">
        <v>4</v>
      </c>
      <c r="F182">
        <v>1102</v>
      </c>
      <c r="G182" s="12">
        <v>660.8</v>
      </c>
      <c r="H182" s="5">
        <v>18.059999999999999</v>
      </c>
      <c r="I182" s="5">
        <v>20.12</v>
      </c>
      <c r="J182" s="5">
        <v>28.09</v>
      </c>
      <c r="K182" s="5">
        <f t="shared" si="33"/>
        <v>19.09</v>
      </c>
      <c r="L182" s="5">
        <f t="shared" si="34"/>
        <v>2.0600000000000023</v>
      </c>
      <c r="M182" s="5">
        <f t="shared" si="35"/>
        <v>9</v>
      </c>
      <c r="N182" s="13">
        <v>1312.05</v>
      </c>
      <c r="O182" s="17">
        <f t="shared" si="36"/>
        <v>5.6000459572133391E-6</v>
      </c>
      <c r="P182" s="19">
        <f t="shared" si="37"/>
        <v>5.5935328290914333E-6</v>
      </c>
      <c r="Q182" s="11">
        <f t="shared" si="38"/>
        <v>1318.3910966712983</v>
      </c>
      <c r="R182" s="15">
        <f t="shared" si="39"/>
        <v>6.3410966712983736</v>
      </c>
      <c r="S182" s="16">
        <f t="shared" si="40"/>
        <v>0.48097235238530045</v>
      </c>
      <c r="V182" s="14">
        <v>0.01</v>
      </c>
      <c r="W182" s="9">
        <v>0.86</v>
      </c>
      <c r="X182" s="6">
        <v>1400</v>
      </c>
      <c r="AC182" s="5">
        <v>22.859000114440917</v>
      </c>
      <c r="AE182">
        <v>3</v>
      </c>
      <c r="AG182" s="13"/>
      <c r="AH182" s="13"/>
      <c r="AI182" s="10"/>
      <c r="AJ182" s="13">
        <v>862</v>
      </c>
      <c r="AK182" s="13">
        <v>862</v>
      </c>
      <c r="AL182" s="10">
        <v>3.1420924007914408E-3</v>
      </c>
      <c r="AM182" s="1">
        <v>15.600000381469727</v>
      </c>
      <c r="AN182" s="2">
        <v>57</v>
      </c>
      <c r="AO182" s="3">
        <v>6.2399997711181641</v>
      </c>
      <c r="AP182" s="3">
        <v>6.2399997711181641</v>
      </c>
      <c r="AR182" s="1">
        <v>-14.744999999999997</v>
      </c>
      <c r="AS182" s="1">
        <v>-9.89</v>
      </c>
      <c r="AT182" s="1">
        <v>-9.7999999999999972</v>
      </c>
      <c r="AU182">
        <v>3</v>
      </c>
      <c r="AV182" s="7">
        <v>0.7</v>
      </c>
      <c r="AW182" s="3">
        <v>6.2399997711181641</v>
      </c>
      <c r="AX182" s="7">
        <v>0.35985928280936763</v>
      </c>
      <c r="AZ182" s="10">
        <v>0.3</v>
      </c>
      <c r="CD182" s="10">
        <v>0.3</v>
      </c>
      <c r="CE182" s="10">
        <v>0</v>
      </c>
      <c r="CF182" s="10">
        <v>0.38640000000000002</v>
      </c>
      <c r="CG182">
        <v>355</v>
      </c>
      <c r="CH182" s="13">
        <v>862</v>
      </c>
      <c r="CI182" s="13">
        <v>862</v>
      </c>
      <c r="CJ182">
        <v>0</v>
      </c>
      <c r="CK182">
        <v>75</v>
      </c>
      <c r="CL182">
        <v>0.20000000298023224</v>
      </c>
      <c r="CM182" s="1">
        <v>15.600000381469727</v>
      </c>
      <c r="CR182">
        <v>4190.68017578125</v>
      </c>
      <c r="CS182">
        <v>1.2724548241749289E-6</v>
      </c>
      <c r="CT182">
        <v>0.60346853733062744</v>
      </c>
    </row>
    <row r="183" spans="1:98" x14ac:dyDescent="0.3">
      <c r="A183" s="4">
        <v>8.86</v>
      </c>
      <c r="B183" s="6">
        <v>1360</v>
      </c>
      <c r="C183" s="5">
        <v>27.59</v>
      </c>
      <c r="D183">
        <v>2</v>
      </c>
      <c r="E183">
        <v>4</v>
      </c>
      <c r="F183">
        <v>1214</v>
      </c>
      <c r="G183" s="12">
        <v>738.4</v>
      </c>
      <c r="H183" s="5">
        <v>17.100000000000001</v>
      </c>
      <c r="I183" s="5">
        <v>19.13</v>
      </c>
      <c r="J183" s="5">
        <v>28.03</v>
      </c>
      <c r="K183" s="5">
        <f t="shared" si="33"/>
        <v>18.115000000000002</v>
      </c>
      <c r="L183" s="5">
        <f t="shared" si="34"/>
        <v>2.0299999999999976</v>
      </c>
      <c r="M183" s="5">
        <f t="shared" si="35"/>
        <v>9.9149999999999991</v>
      </c>
      <c r="N183" s="13">
        <v>1597.63</v>
      </c>
      <c r="O183" s="17">
        <f t="shared" si="36"/>
        <v>5.3803338028188119E-6</v>
      </c>
      <c r="P183" s="19">
        <f t="shared" si="37"/>
        <v>5.3738412242312058E-6</v>
      </c>
      <c r="Q183" s="11">
        <f t="shared" si="38"/>
        <v>1670.9137749611591</v>
      </c>
      <c r="R183" s="15">
        <f t="shared" si="39"/>
        <v>73.283774961158997</v>
      </c>
      <c r="S183" s="16">
        <f t="shared" si="40"/>
        <v>4.3858501892392709</v>
      </c>
      <c r="V183" s="14">
        <v>0.01</v>
      </c>
      <c r="W183" s="9">
        <v>0.66</v>
      </c>
      <c r="X183" s="6">
        <v>1400</v>
      </c>
      <c r="AC183" s="5">
        <v>23.47789993133545</v>
      </c>
      <c r="AE183">
        <v>3</v>
      </c>
      <c r="AG183" s="13"/>
      <c r="AH183" s="13"/>
      <c r="AI183" s="10"/>
      <c r="AJ183" s="13">
        <v>673</v>
      </c>
      <c r="AK183" s="13">
        <v>673</v>
      </c>
      <c r="AL183" s="10">
        <v>8.5536396922431646E-2</v>
      </c>
      <c r="AM183" s="1">
        <v>18.299999237060547</v>
      </c>
      <c r="AN183" s="2">
        <v>43</v>
      </c>
      <c r="AO183" s="3">
        <v>5.5399999618530273</v>
      </c>
      <c r="AP183" s="3">
        <v>5.5399999618530273</v>
      </c>
      <c r="AR183" s="1">
        <v>-11.654999999999998</v>
      </c>
      <c r="AS183" s="1">
        <v>-12.83</v>
      </c>
      <c r="AT183" s="1">
        <v>-5.2399999999999975</v>
      </c>
      <c r="AU183">
        <v>1</v>
      </c>
      <c r="AV183" s="7">
        <v>0.91000000000000048</v>
      </c>
      <c r="AW183" s="3">
        <v>5.5399999618530273</v>
      </c>
      <c r="AX183" s="7">
        <v>0.30809958892319433</v>
      </c>
      <c r="AZ183" s="10">
        <v>0.09</v>
      </c>
      <c r="CD183" s="10">
        <v>0.09</v>
      </c>
      <c r="CE183" s="10">
        <v>0</v>
      </c>
      <c r="CF183" s="10">
        <v>0.308</v>
      </c>
      <c r="CG183">
        <v>355</v>
      </c>
      <c r="CH183" s="13">
        <v>673</v>
      </c>
      <c r="CI183" s="13">
        <v>673</v>
      </c>
      <c r="CJ183">
        <v>0</v>
      </c>
      <c r="CK183">
        <v>45</v>
      </c>
      <c r="CL183">
        <v>0.10000000149011612</v>
      </c>
      <c r="CM183" s="1">
        <v>18.299999237060547</v>
      </c>
      <c r="CR183">
        <v>4190.96533203125</v>
      </c>
      <c r="CS183">
        <v>1.2333604217928951E-6</v>
      </c>
      <c r="CT183">
        <v>0.60521167516708374</v>
      </c>
    </row>
  </sheetData>
  <sortState xmlns:xlrd2="http://schemas.microsoft.com/office/spreadsheetml/2017/richdata2" ref="A139:S183">
    <sortCondition ref="F139:F183"/>
  </sortState>
  <conditionalFormatting sqref="S1:S75">
    <cfRule type="cellIs" dxfId="46" priority="9" operator="greaterThan">
      <formula>7</formula>
    </cfRule>
  </conditionalFormatting>
  <conditionalFormatting sqref="S76:S98">
    <cfRule type="cellIs" dxfId="45" priority="12" operator="greaterThan">
      <formula>10</formula>
    </cfRule>
  </conditionalFormatting>
  <conditionalFormatting sqref="S99:S102">
    <cfRule type="cellIs" dxfId="44" priority="2" operator="greaterThan">
      <formula>7</formula>
    </cfRule>
  </conditionalFormatting>
  <conditionalFormatting sqref="S103:S134">
    <cfRule type="cellIs" dxfId="43" priority="7" operator="greaterThan">
      <formula>10</formula>
    </cfRule>
  </conditionalFormatting>
  <conditionalFormatting sqref="S135:S138">
    <cfRule type="cellIs" dxfId="42" priority="1" operator="greaterThan">
      <formula>7</formula>
    </cfRule>
  </conditionalFormatting>
  <conditionalFormatting sqref="S139:S183">
    <cfRule type="cellIs" dxfId="41" priority="3" operator="greaterThan">
      <formula>10</formula>
    </cfRule>
  </conditionalFormatting>
  <conditionalFormatting sqref="S184:S1048576">
    <cfRule type="cellIs" dxfId="40" priority="16" operator="greaterThan">
      <formula>7</formula>
    </cfRule>
  </conditionalFormatting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O28"/>
  <sheetViews>
    <sheetView topLeftCell="AT1" workbookViewId="0">
      <selection activeCell="AX14" sqref="AX14"/>
    </sheetView>
  </sheetViews>
  <sheetFormatPr baseColWidth="10" defaultColWidth="11.44140625" defaultRowHeight="14.4" x14ac:dyDescent="0.3"/>
  <cols>
    <col min="2" max="2" width="20.44140625" style="27" customWidth="1"/>
    <col min="3" max="6" width="12" bestFit="1" customWidth="1"/>
    <col min="7" max="7" width="11.44140625" bestFit="1" customWidth="1"/>
    <col min="8" max="12" width="11.44140625" customWidth="1"/>
    <col min="13" max="13" width="20.5546875" style="27" customWidth="1"/>
    <col min="14" max="17" width="12" bestFit="1" customWidth="1"/>
    <col min="18" max="18" width="11.44140625" bestFit="1" customWidth="1"/>
    <col min="19" max="23" width="11.44140625" customWidth="1"/>
    <col min="24" max="24" width="20.5546875" customWidth="1"/>
    <col min="25" max="26" width="12" bestFit="1" customWidth="1"/>
    <col min="27" max="29" width="11.44140625" bestFit="1" customWidth="1"/>
    <col min="30" max="34" width="11.44140625" customWidth="1"/>
    <col min="35" max="35" width="20.5546875" customWidth="1"/>
    <col min="36" max="40" width="11.44140625" bestFit="1" customWidth="1"/>
    <col min="41" max="45" width="11.44140625" customWidth="1"/>
    <col min="46" max="46" width="20.88671875" customWidth="1"/>
    <col min="47" max="51" width="11.44140625" bestFit="1" customWidth="1"/>
    <col min="52" max="56" width="11.44140625" customWidth="1"/>
    <col min="57" max="57" width="20.88671875" customWidth="1"/>
    <col min="58" max="62" width="11.44140625" bestFit="1" customWidth="1"/>
  </cols>
  <sheetData>
    <row r="1" spans="1:67" s="86" customFormat="1" x14ac:dyDescent="0.3">
      <c r="B1" s="451">
        <v>950</v>
      </c>
      <c r="C1" s="452"/>
      <c r="D1" s="452"/>
      <c r="E1" s="452"/>
      <c r="F1" s="452"/>
      <c r="G1" s="452"/>
      <c r="H1" s="452"/>
      <c r="I1" s="452"/>
      <c r="J1" s="452"/>
      <c r="K1" s="452"/>
      <c r="L1" s="453"/>
      <c r="M1" s="451">
        <v>1200</v>
      </c>
      <c r="N1" s="452"/>
      <c r="O1" s="452"/>
      <c r="P1" s="452"/>
      <c r="Q1" s="452"/>
      <c r="R1" s="452"/>
      <c r="S1" s="452"/>
      <c r="T1" s="452"/>
      <c r="U1" s="452"/>
      <c r="V1" s="452"/>
      <c r="W1" s="453"/>
      <c r="X1" s="451">
        <v>1700</v>
      </c>
      <c r="Y1" s="452"/>
      <c r="Z1" s="452"/>
      <c r="AA1" s="452"/>
      <c r="AB1" s="452"/>
      <c r="AC1" s="452"/>
      <c r="AD1" s="452"/>
      <c r="AE1" s="452"/>
      <c r="AF1" s="452"/>
      <c r="AG1" s="452"/>
      <c r="AH1" s="452"/>
      <c r="AI1" s="451">
        <v>2000</v>
      </c>
      <c r="AJ1" s="452"/>
      <c r="AK1" s="452"/>
      <c r="AL1" s="452"/>
      <c r="AM1" s="452"/>
      <c r="AN1" s="452"/>
      <c r="AO1" s="452"/>
      <c r="AP1" s="452"/>
      <c r="AQ1" s="452"/>
      <c r="AR1" s="452"/>
      <c r="AS1" s="452"/>
      <c r="AT1" s="451">
        <v>2500</v>
      </c>
      <c r="AU1" s="452"/>
      <c r="AV1" s="452"/>
      <c r="AW1" s="452"/>
      <c r="AX1" s="452"/>
      <c r="AY1" s="452"/>
      <c r="AZ1" s="452"/>
      <c r="BA1" s="452"/>
      <c r="BB1" s="452"/>
      <c r="BC1" s="452"/>
      <c r="BD1" s="452"/>
      <c r="BE1" s="451">
        <v>3000</v>
      </c>
      <c r="BF1" s="452"/>
      <c r="BG1" s="452"/>
      <c r="BH1" s="452"/>
      <c r="BI1" s="452"/>
      <c r="BJ1" s="452"/>
      <c r="BK1" s="452"/>
      <c r="BL1" s="452"/>
      <c r="BM1" s="452"/>
      <c r="BN1" s="452"/>
      <c r="BO1" s="452"/>
    </row>
    <row r="2" spans="1:67" s="87" customFormat="1" ht="30.75" customHeight="1" x14ac:dyDescent="0.3">
      <c r="B2" s="88" t="s">
        <v>178</v>
      </c>
      <c r="C2" s="454" t="s">
        <v>179</v>
      </c>
      <c r="D2" s="454"/>
      <c r="E2" s="454"/>
      <c r="F2" s="454"/>
      <c r="G2" s="454"/>
      <c r="H2" s="454" t="s">
        <v>180</v>
      </c>
      <c r="I2" s="454"/>
      <c r="J2" s="454"/>
      <c r="K2" s="454"/>
      <c r="L2" s="455"/>
      <c r="M2" s="88" t="s">
        <v>178</v>
      </c>
      <c r="N2" s="454" t="s">
        <v>179</v>
      </c>
      <c r="O2" s="454"/>
      <c r="P2" s="454"/>
      <c r="Q2" s="454"/>
      <c r="R2" s="454"/>
      <c r="S2" s="454" t="s">
        <v>180</v>
      </c>
      <c r="T2" s="454"/>
      <c r="U2" s="454"/>
      <c r="V2" s="454"/>
      <c r="W2" s="455"/>
      <c r="X2" s="246" t="s">
        <v>178</v>
      </c>
      <c r="Y2" s="454" t="s">
        <v>179</v>
      </c>
      <c r="Z2" s="454"/>
      <c r="AA2" s="454"/>
      <c r="AB2" s="454"/>
      <c r="AC2" s="454"/>
      <c r="AD2" s="454" t="s">
        <v>180</v>
      </c>
      <c r="AE2" s="454"/>
      <c r="AF2" s="454"/>
      <c r="AG2" s="454"/>
      <c r="AH2" s="454"/>
      <c r="AI2" s="88" t="s">
        <v>178</v>
      </c>
      <c r="AJ2" s="454" t="s">
        <v>179</v>
      </c>
      <c r="AK2" s="454"/>
      <c r="AL2" s="454"/>
      <c r="AM2" s="454"/>
      <c r="AN2" s="454"/>
      <c r="AO2" s="454" t="s">
        <v>180</v>
      </c>
      <c r="AP2" s="454"/>
      <c r="AQ2" s="454"/>
      <c r="AR2" s="454"/>
      <c r="AS2" s="455"/>
      <c r="AT2" s="88" t="s">
        <v>178</v>
      </c>
      <c r="AU2" s="454" t="s">
        <v>179</v>
      </c>
      <c r="AV2" s="454"/>
      <c r="AW2" s="454"/>
      <c r="AX2" s="454"/>
      <c r="AY2" s="454"/>
      <c r="AZ2" s="454" t="s">
        <v>180</v>
      </c>
      <c r="BA2" s="454"/>
      <c r="BB2" s="454"/>
      <c r="BC2" s="454"/>
      <c r="BD2" s="455"/>
      <c r="BE2" s="88" t="s">
        <v>178</v>
      </c>
      <c r="BF2" s="454" t="s">
        <v>179</v>
      </c>
      <c r="BG2" s="454"/>
      <c r="BH2" s="454"/>
      <c r="BI2" s="454"/>
      <c r="BJ2" s="454"/>
      <c r="BK2" s="454" t="s">
        <v>180</v>
      </c>
      <c r="BL2" s="454"/>
      <c r="BM2" s="454"/>
      <c r="BN2" s="454"/>
      <c r="BO2" s="454"/>
    </row>
    <row r="3" spans="1:67" s="86" customFormat="1" x14ac:dyDescent="0.3">
      <c r="A3" s="91"/>
      <c r="B3" s="92">
        <v>550</v>
      </c>
      <c r="C3" s="91">
        <v>20</v>
      </c>
      <c r="D3" s="91">
        <v>40</v>
      </c>
      <c r="E3" s="91">
        <v>60</v>
      </c>
      <c r="F3" s="91">
        <v>80</v>
      </c>
      <c r="G3" s="91">
        <v>100</v>
      </c>
      <c r="H3" s="91" t="s">
        <v>181</v>
      </c>
      <c r="I3" s="91" t="s">
        <v>182</v>
      </c>
      <c r="J3" s="91" t="s">
        <v>183</v>
      </c>
      <c r="K3" s="91" t="s">
        <v>184</v>
      </c>
      <c r="L3" s="93" t="s">
        <v>185</v>
      </c>
      <c r="M3" s="92">
        <v>550</v>
      </c>
      <c r="N3" s="91">
        <v>20</v>
      </c>
      <c r="O3" s="91">
        <v>40</v>
      </c>
      <c r="P3" s="91">
        <v>60</v>
      </c>
      <c r="Q3" s="91">
        <v>80</v>
      </c>
      <c r="R3" s="91">
        <v>100</v>
      </c>
      <c r="S3" s="91" t="s">
        <v>181</v>
      </c>
      <c r="T3" s="91" t="s">
        <v>182</v>
      </c>
      <c r="U3" s="91" t="s">
        <v>183</v>
      </c>
      <c r="V3" s="91" t="s">
        <v>184</v>
      </c>
      <c r="W3" s="93" t="s">
        <v>185</v>
      </c>
      <c r="X3" s="94">
        <v>550</v>
      </c>
      <c r="Y3" s="91">
        <v>20</v>
      </c>
      <c r="Z3" s="91">
        <v>40</v>
      </c>
      <c r="AA3" s="91">
        <v>60</v>
      </c>
      <c r="AB3" s="91">
        <v>80</v>
      </c>
      <c r="AC3" s="91">
        <v>100</v>
      </c>
      <c r="AD3" s="91" t="s">
        <v>181</v>
      </c>
      <c r="AE3" s="91" t="s">
        <v>182</v>
      </c>
      <c r="AF3" s="91" t="s">
        <v>183</v>
      </c>
      <c r="AG3" s="91" t="s">
        <v>184</v>
      </c>
      <c r="AH3" s="91" t="s">
        <v>185</v>
      </c>
      <c r="AI3" s="92">
        <v>550</v>
      </c>
      <c r="AJ3" s="91">
        <v>20</v>
      </c>
      <c r="AK3" s="91">
        <v>40</v>
      </c>
      <c r="AL3" s="91">
        <v>60</v>
      </c>
      <c r="AM3" s="91">
        <v>80</v>
      </c>
      <c r="AN3" s="91">
        <v>100</v>
      </c>
      <c r="AO3" s="91" t="s">
        <v>181</v>
      </c>
      <c r="AP3" s="91" t="s">
        <v>182</v>
      </c>
      <c r="AQ3" s="91" t="s">
        <v>183</v>
      </c>
      <c r="AR3" s="91" t="s">
        <v>184</v>
      </c>
      <c r="AS3" s="91" t="s">
        <v>185</v>
      </c>
      <c r="AT3" s="92">
        <v>550</v>
      </c>
      <c r="AU3" s="91">
        <v>20</v>
      </c>
      <c r="AV3" s="91">
        <v>40</v>
      </c>
      <c r="AW3" s="91">
        <v>60</v>
      </c>
      <c r="AX3" s="91">
        <v>80</v>
      </c>
      <c r="AY3" s="91">
        <v>100</v>
      </c>
      <c r="AZ3" s="91" t="s">
        <v>181</v>
      </c>
      <c r="BA3" s="91" t="s">
        <v>182</v>
      </c>
      <c r="BB3" s="91" t="s">
        <v>183</v>
      </c>
      <c r="BC3" s="91" t="s">
        <v>184</v>
      </c>
      <c r="BD3" s="91" t="s">
        <v>185</v>
      </c>
      <c r="BE3" s="92">
        <v>550</v>
      </c>
      <c r="BF3" s="91">
        <v>20</v>
      </c>
      <c r="BG3" s="91">
        <v>40</v>
      </c>
      <c r="BH3" s="91">
        <v>60</v>
      </c>
      <c r="BI3" s="91">
        <v>80</v>
      </c>
      <c r="BJ3" s="91">
        <v>100</v>
      </c>
      <c r="BK3" s="91" t="s">
        <v>181</v>
      </c>
      <c r="BL3" s="91" t="s">
        <v>182</v>
      </c>
      <c r="BM3" s="91" t="s">
        <v>183</v>
      </c>
      <c r="BN3" s="91" t="s">
        <v>184</v>
      </c>
      <c r="BO3" s="91" t="s">
        <v>185</v>
      </c>
    </row>
    <row r="4" spans="1:67" x14ac:dyDescent="0.3">
      <c r="A4" s="70">
        <v>50</v>
      </c>
      <c r="B4" s="90">
        <f>B$3^4*H4+I4*B$3^3+J4*B$3^2+K4*B$3+L4</f>
        <v>-14.473388823540411</v>
      </c>
      <c r="C4" s="79">
        <v>-13.006612736668384</v>
      </c>
      <c r="D4" s="79">
        <v>-14.14906327460778</v>
      </c>
      <c r="E4" s="79">
        <v>-14.192188800315986</v>
      </c>
      <c r="F4" s="79">
        <v>-10.476269494836057</v>
      </c>
      <c r="G4" s="79">
        <v>-9.0529898885547446</v>
      </c>
      <c r="H4">
        <v>-1.0370917807215056E-10</v>
      </c>
      <c r="I4">
        <v>2.86289894842982E-7</v>
      </c>
      <c r="J4">
        <v>-2.5799165249482613E-4</v>
      </c>
      <c r="K4">
        <v>8.8349769421307817E-2</v>
      </c>
      <c r="L4" s="85">
        <v>-23.164730404111211</v>
      </c>
      <c r="M4" s="90">
        <f>M$3^4*S4+M$3^3*T4+M$3^2*U4+M$3*V4+W4</f>
        <v>-12.277819295172719</v>
      </c>
      <c r="N4" s="79">
        <v>-10.811043208300669</v>
      </c>
      <c r="O4" s="79">
        <v>-11.953493746240065</v>
      </c>
      <c r="P4" s="79">
        <v>-11.996619271948271</v>
      </c>
      <c r="Q4" s="79">
        <v>-8.2806999664683421</v>
      </c>
      <c r="R4" s="79">
        <v>-6.8574203601870298</v>
      </c>
      <c r="S4">
        <v>-1.0370917807215044E-10</v>
      </c>
      <c r="T4">
        <v>2.8628989484298174E-7</v>
      </c>
      <c r="U4">
        <v>-2.5799165249482586E-4</v>
      </c>
      <c r="V4">
        <v>8.8349769421307678E-2</v>
      </c>
      <c r="W4" s="85">
        <v>-20.969160875743498</v>
      </c>
      <c r="X4" s="90">
        <f>X$3^4*AD4+X$3^3*AE4+X$3^2*AF4+X$3*AG4+AH4</f>
        <v>-10.01816613706081</v>
      </c>
      <c r="Y4" s="79">
        <v>-8.5513900501887843</v>
      </c>
      <c r="Z4" s="79">
        <v>-9.6938405881281806</v>
      </c>
      <c r="AA4" s="79">
        <v>-9.7369661138363863</v>
      </c>
      <c r="AB4" s="79">
        <v>-6.0210468083564574</v>
      </c>
      <c r="AC4" s="79">
        <v>-4.5977672020751452</v>
      </c>
      <c r="AD4">
        <v>-1.0370917807215056E-10</v>
      </c>
      <c r="AE4">
        <v>2.86289894842982E-7</v>
      </c>
      <c r="AF4">
        <v>-2.5799165249482613E-4</v>
      </c>
      <c r="AG4">
        <v>8.8349769421307817E-2</v>
      </c>
      <c r="AH4">
        <v>-18.70950771763161</v>
      </c>
      <c r="AI4" s="90">
        <f>AI$3^4*AO4+AI$3^3*AP4+AI$3^2*AQ4+AI$3*AR4+AS4</f>
        <v>-9.0985118331508943</v>
      </c>
      <c r="AJ4" s="79">
        <v>-7.631735746278844</v>
      </c>
      <c r="AK4" s="79">
        <v>-8.7741862842182403</v>
      </c>
      <c r="AL4" s="79">
        <v>-8.817311809926446</v>
      </c>
      <c r="AM4" s="79">
        <v>-5.1013925044465172</v>
      </c>
      <c r="AN4" s="79">
        <v>-3.6781128981652049</v>
      </c>
      <c r="AO4">
        <v>-1.0370917807215044E-10</v>
      </c>
      <c r="AP4">
        <v>2.8628989484298174E-7</v>
      </c>
      <c r="AQ4">
        <v>-2.5799165249482586E-4</v>
      </c>
      <c r="AR4">
        <v>8.8349769421307678E-2</v>
      </c>
      <c r="AS4">
        <v>-17.789853413721673</v>
      </c>
      <c r="AT4" s="90">
        <f>AT$3^4*AZ4+AT$3^3*BA4+AT$3^2*BB4+AT$3*BC4+BD4</f>
        <v>-7.9923577435718016</v>
      </c>
      <c r="AU4" s="79">
        <v>-6.5255816566997513</v>
      </c>
      <c r="AV4" s="79">
        <v>-7.6680321946391476</v>
      </c>
      <c r="AW4" s="79">
        <v>-7.7111577203473534</v>
      </c>
      <c r="AX4" s="79">
        <v>-3.9952384148674245</v>
      </c>
      <c r="AY4" s="79">
        <v>-2.5719588085861123</v>
      </c>
      <c r="AZ4">
        <v>-1.0370917807215044E-10</v>
      </c>
      <c r="BA4">
        <v>2.8628989484298174E-7</v>
      </c>
      <c r="BB4">
        <v>-2.5799165249482586E-4</v>
      </c>
      <c r="BC4">
        <v>8.8349769421307678E-2</v>
      </c>
      <c r="BD4">
        <v>-16.68369932414258</v>
      </c>
      <c r="BE4" s="89">
        <f>BE$3^4*BK4+BE$3^3*BL4+BE$3^2*BM4+BE$3*BN4+BO4</f>
        <v>-6.8667836413073289</v>
      </c>
      <c r="BF4" s="79">
        <v>-5.4000075544353034</v>
      </c>
      <c r="BG4" s="79">
        <v>-6.5424580923746998</v>
      </c>
      <c r="BH4" s="79">
        <v>-6.5855836180829055</v>
      </c>
      <c r="BI4" s="79">
        <v>-2.8696643126029766</v>
      </c>
      <c r="BJ4" s="79">
        <v>-1.4463847063216644</v>
      </c>
      <c r="BK4">
        <v>-1.0370917807215056E-10</v>
      </c>
      <c r="BL4">
        <v>2.86289894842982E-7</v>
      </c>
      <c r="BM4">
        <v>-2.5799165249482613E-4</v>
      </c>
      <c r="BN4">
        <v>8.8349769421307817E-2</v>
      </c>
      <c r="BO4">
        <v>-15.558125221878129</v>
      </c>
    </row>
    <row r="5" spans="1:67" x14ac:dyDescent="0.3">
      <c r="A5" s="70">
        <v>63</v>
      </c>
      <c r="B5" s="90">
        <f t="shared" ref="B5:B27" si="0">B$3^4*H5+I5*B$3^3+J5*B$3^2+K5*B$3+L5</f>
        <v>-13.783608375295685</v>
      </c>
      <c r="C5" s="79">
        <v>-14.554820532828113</v>
      </c>
      <c r="D5" s="79">
        <v>-14.274614402201504</v>
      </c>
      <c r="E5" s="79">
        <v>-11.651952598256624</v>
      </c>
      <c r="F5" s="79">
        <v>-7.9700399321651476</v>
      </c>
      <c r="G5" s="79">
        <v>-1.4367917860834014</v>
      </c>
      <c r="H5">
        <v>6.2541774124722811E-11</v>
      </c>
      <c r="I5">
        <v>-1.7995778704685106E-7</v>
      </c>
      <c r="J5">
        <v>1.9804411394080712E-4</v>
      </c>
      <c r="K5">
        <v>-8.6287950081564799E-2</v>
      </c>
      <c r="L5" s="85">
        <v>-2.0160666961097746</v>
      </c>
      <c r="M5" s="90">
        <f t="shared" ref="M5:M27" si="1">M$3^4*S5+T5*M$3^3+U5*M$3^2+V5*M$3+W5</f>
        <v>-11.588038846927972</v>
      </c>
      <c r="N5" s="79">
        <v>-12.359251004460399</v>
      </c>
      <c r="O5" s="79">
        <v>-12.079044873833789</v>
      </c>
      <c r="P5" s="79">
        <v>-9.4563830698889095</v>
      </c>
      <c r="Q5" s="79">
        <v>-5.7744704037974319</v>
      </c>
      <c r="R5" s="79">
        <v>0.75877774228431383</v>
      </c>
      <c r="S5">
        <v>6.2541774124722798E-11</v>
      </c>
      <c r="T5">
        <v>-1.7995778704685095E-7</v>
      </c>
      <c r="U5">
        <v>1.9804411394080699E-4</v>
      </c>
      <c r="V5">
        <v>-8.6287950081564729E-2</v>
      </c>
      <c r="W5" s="85">
        <v>0.17950283225793129</v>
      </c>
      <c r="X5" s="90">
        <f t="shared" ref="X5:X27" si="2">X$3^4*AD5+AE5*X$3^3+AF5*X$3^2+AG5*X$3+AH5</f>
        <v>-9.3283856888160841</v>
      </c>
      <c r="Y5" s="79">
        <v>-10.099597846348514</v>
      </c>
      <c r="Z5" s="79">
        <v>-9.8193917157219044</v>
      </c>
      <c r="AA5" s="79">
        <v>-7.1967299117770249</v>
      </c>
      <c r="AB5" s="79">
        <v>-3.5148172456855469</v>
      </c>
      <c r="AC5" s="79">
        <v>3.0184309003961993</v>
      </c>
      <c r="AD5">
        <v>6.2541774124722746E-11</v>
      </c>
      <c r="AE5">
        <v>-1.7995778704685085E-7</v>
      </c>
      <c r="AF5">
        <v>1.9804411394080691E-4</v>
      </c>
      <c r="AG5">
        <v>-8.6287950081564702E-2</v>
      </c>
      <c r="AH5">
        <v>2.4391559903698123</v>
      </c>
      <c r="AI5" s="90">
        <f t="shared" ref="AI5:AI27" si="3">AI$3^4*AO5+AP5*AI$3^3+AQ5*AI$3^2+AR5*AI$3+AS5</f>
        <v>-8.4087313849061474</v>
      </c>
      <c r="AJ5" s="79">
        <v>-9.1799435424385738</v>
      </c>
      <c r="AK5" s="79">
        <v>-8.8997374118119641</v>
      </c>
      <c r="AL5" s="79">
        <v>-6.2770756078670846</v>
      </c>
      <c r="AM5" s="79">
        <v>-2.595162941775607</v>
      </c>
      <c r="AN5" s="79">
        <v>3.9380852043061392</v>
      </c>
      <c r="AO5">
        <v>6.2541774124722798E-11</v>
      </c>
      <c r="AP5">
        <v>-1.7995778704685095E-7</v>
      </c>
      <c r="AQ5">
        <v>1.9804411394080699E-4</v>
      </c>
      <c r="AR5">
        <v>-8.6287950081564729E-2</v>
      </c>
      <c r="AS5">
        <v>3.3588102942797562</v>
      </c>
      <c r="AT5" s="90">
        <f t="shared" ref="AT5:AT27" si="4">AT$3^4*AZ5+BA5*AT$3^3+BB5*AT$3^2+BC5*AT$3+BD5</f>
        <v>-7.3025772953270547</v>
      </c>
      <c r="AU5" s="79">
        <v>-8.0737894528594811</v>
      </c>
      <c r="AV5" s="79">
        <v>-7.7935833222328714</v>
      </c>
      <c r="AW5" s="79">
        <v>-5.170921518287992</v>
      </c>
      <c r="AX5" s="79">
        <v>-1.4890088521965144</v>
      </c>
      <c r="AY5" s="79">
        <v>5.0442392938852318</v>
      </c>
      <c r="AZ5">
        <v>6.2541774124722798E-11</v>
      </c>
      <c r="BA5">
        <v>-1.7995778704685095E-7</v>
      </c>
      <c r="BB5">
        <v>1.9804411394080699E-4</v>
      </c>
      <c r="BC5">
        <v>-8.6287950081564729E-2</v>
      </c>
      <c r="BD5">
        <v>4.4649643838588489</v>
      </c>
      <c r="BE5" s="90">
        <f t="shared" ref="BE5:BE27" si="5">BE$3^4*BK5+BL5*BE$3^3+BM5*BE$3^2+BN5*BE$3+BO5</f>
        <v>-6.1770031930626175</v>
      </c>
      <c r="BF5" s="79">
        <v>-6.9482153505950333</v>
      </c>
      <c r="BG5" s="79">
        <v>-6.6680092199684236</v>
      </c>
      <c r="BH5" s="79">
        <v>-4.0453474160235441</v>
      </c>
      <c r="BI5" s="79">
        <v>-0.36343474993206648</v>
      </c>
      <c r="BJ5" s="79">
        <v>6.1698133961496797</v>
      </c>
      <c r="BK5">
        <v>6.2541774124722798E-11</v>
      </c>
      <c r="BL5">
        <v>-1.7995778704685095E-7</v>
      </c>
      <c r="BM5">
        <v>1.9804411394080699E-4</v>
      </c>
      <c r="BN5">
        <v>-8.6287950081564729E-2</v>
      </c>
      <c r="BO5">
        <v>5.5905384861232861</v>
      </c>
    </row>
    <row r="6" spans="1:67" x14ac:dyDescent="0.3">
      <c r="A6" s="70">
        <v>80</v>
      </c>
      <c r="B6" s="90">
        <f t="shared" si="0"/>
        <v>-12.539963662291996</v>
      </c>
      <c r="C6" s="79">
        <v>-14.388202951427839</v>
      </c>
      <c r="D6" s="79">
        <v>-14.880334968583529</v>
      </c>
      <c r="E6" s="79">
        <v>-3.5016404688920462</v>
      </c>
      <c r="F6" s="79">
        <v>2.8040540228828403</v>
      </c>
      <c r="G6" s="79">
        <v>8.2333657191278355</v>
      </c>
      <c r="H6">
        <v>3.4599213409786375E-10</v>
      </c>
      <c r="I6">
        <v>-1.1211453320820259E-6</v>
      </c>
      <c r="J6">
        <v>1.2856064614876371E-3</v>
      </c>
      <c r="K6">
        <v>-0.57978374574501912</v>
      </c>
      <c r="L6" s="85">
        <v>72.31525380181273</v>
      </c>
      <c r="M6" s="90">
        <f t="shared" si="1"/>
        <v>-10.344394133924311</v>
      </c>
      <c r="N6" s="79">
        <v>-12.192633423060125</v>
      </c>
      <c r="O6" s="79">
        <v>-12.684765440215815</v>
      </c>
      <c r="P6" s="79">
        <v>-1.3060709405243309</v>
      </c>
      <c r="Q6" s="79">
        <v>4.999623551250556</v>
      </c>
      <c r="R6" s="79">
        <v>10.42893524749555</v>
      </c>
      <c r="S6">
        <v>3.4599213409786355E-10</v>
      </c>
      <c r="T6">
        <v>-1.1211453320820253E-6</v>
      </c>
      <c r="U6">
        <v>1.2856064614876362E-3</v>
      </c>
      <c r="V6">
        <v>-0.57978374574501856</v>
      </c>
      <c r="W6" s="85">
        <v>74.510823330180273</v>
      </c>
      <c r="X6" s="90">
        <f t="shared" si="2"/>
        <v>-8.0847409758122524</v>
      </c>
      <c r="Y6" s="79">
        <v>-9.9329802649482399</v>
      </c>
      <c r="Z6" s="79">
        <v>-10.42511228210393</v>
      </c>
      <c r="AA6" s="79">
        <v>0.95358221758755457</v>
      </c>
      <c r="AB6" s="79">
        <v>7.2592767093624406</v>
      </c>
      <c r="AC6" s="79">
        <v>12.688588405607435</v>
      </c>
      <c r="AD6">
        <v>3.4599213409786355E-10</v>
      </c>
      <c r="AE6">
        <v>-1.1211453320820257E-6</v>
      </c>
      <c r="AF6">
        <v>1.2856064614876369E-3</v>
      </c>
      <c r="AG6">
        <v>-0.5797837457450189</v>
      </c>
      <c r="AH6">
        <v>76.770476488292417</v>
      </c>
      <c r="AI6" s="90">
        <f t="shared" si="3"/>
        <v>-7.1650866719024293</v>
      </c>
      <c r="AJ6" s="79">
        <v>-9.0133259610382996</v>
      </c>
      <c r="AK6" s="79">
        <v>-9.5054579781939896</v>
      </c>
      <c r="AL6" s="79">
        <v>1.8732365214974944</v>
      </c>
      <c r="AM6" s="79">
        <v>8.1789310132723809</v>
      </c>
      <c r="AN6" s="79">
        <v>13.608242709517375</v>
      </c>
      <c r="AO6">
        <v>3.4599213409786375E-10</v>
      </c>
      <c r="AP6">
        <v>-1.1211453320820259E-6</v>
      </c>
      <c r="AQ6">
        <v>1.2856064614876371E-3</v>
      </c>
      <c r="AR6">
        <v>-0.57978374574501912</v>
      </c>
      <c r="AS6">
        <v>77.690130792202297</v>
      </c>
      <c r="AT6" s="90">
        <f t="shared" si="4"/>
        <v>-6.0589325823232798</v>
      </c>
      <c r="AU6" s="79">
        <v>-7.907171871459207</v>
      </c>
      <c r="AV6" s="79">
        <v>-8.399303888614897</v>
      </c>
      <c r="AW6" s="79">
        <v>2.9793906110765871</v>
      </c>
      <c r="AX6" s="79">
        <v>9.2850851028514736</v>
      </c>
      <c r="AY6" s="79">
        <v>14.714396799096468</v>
      </c>
      <c r="AZ6">
        <v>3.4599213409786329E-10</v>
      </c>
      <c r="BA6">
        <v>-1.121145332082025E-6</v>
      </c>
      <c r="BB6">
        <v>1.2856064614876362E-3</v>
      </c>
      <c r="BC6">
        <v>-0.57978374574501856</v>
      </c>
      <c r="BD6">
        <v>78.796284881781276</v>
      </c>
      <c r="BE6" s="90">
        <f t="shared" si="5"/>
        <v>-4.9333584800588142</v>
      </c>
      <c r="BF6" s="79">
        <v>-6.7815977691947591</v>
      </c>
      <c r="BG6" s="79">
        <v>-7.2737297863504491</v>
      </c>
      <c r="BH6" s="79">
        <v>4.104964713341035</v>
      </c>
      <c r="BI6" s="79">
        <v>10.410659205115921</v>
      </c>
      <c r="BJ6" s="79">
        <v>15.839970901360916</v>
      </c>
      <c r="BK6">
        <v>3.4599213409786329E-10</v>
      </c>
      <c r="BL6">
        <v>-1.121145332082025E-6</v>
      </c>
      <c r="BM6">
        <v>1.2856064614876362E-3</v>
      </c>
      <c r="BN6">
        <v>-0.57978374574501856</v>
      </c>
      <c r="BO6">
        <v>79.921858984045741</v>
      </c>
    </row>
    <row r="7" spans="1:67" x14ac:dyDescent="0.3">
      <c r="A7" s="70">
        <v>100</v>
      </c>
      <c r="B7" s="90">
        <f t="shared" si="0"/>
        <v>-5.697986442127025</v>
      </c>
      <c r="C7" s="79">
        <v>-14.130745092845753</v>
      </c>
      <c r="D7" s="79">
        <v>-7.8029798358970739</v>
      </c>
      <c r="E7" s="79">
        <v>1.1708952906612948</v>
      </c>
      <c r="F7" s="79">
        <v>8.5291652763430683</v>
      </c>
      <c r="G7" s="79">
        <v>12.576557928023249</v>
      </c>
      <c r="H7">
        <v>2.4711042516251636E-11</v>
      </c>
      <c r="I7">
        <v>-9.470832889506791E-8</v>
      </c>
      <c r="J7">
        <v>1.1122922066398631E-4</v>
      </c>
      <c r="K7">
        <v>-1.446116777808361E-2</v>
      </c>
      <c r="L7" s="85">
        <v>-17.895300029372731</v>
      </c>
      <c r="M7" s="90">
        <f t="shared" si="1"/>
        <v>-3.5024169137593155</v>
      </c>
      <c r="N7" s="79">
        <v>-11.935175564478039</v>
      </c>
      <c r="O7" s="79">
        <v>-5.6074103075293582</v>
      </c>
      <c r="P7" s="79">
        <v>3.3664648190290101</v>
      </c>
      <c r="Q7" s="79">
        <v>10.724734804710783</v>
      </c>
      <c r="R7" s="79">
        <v>14.772127456390965</v>
      </c>
      <c r="S7">
        <v>2.4711042516251907E-11</v>
      </c>
      <c r="T7">
        <v>-9.4708328895068744E-8</v>
      </c>
      <c r="U7">
        <v>1.1122922066398727E-4</v>
      </c>
      <c r="V7">
        <v>-1.4461167778084079E-2</v>
      </c>
      <c r="W7" s="85">
        <v>-15.699730501004939</v>
      </c>
      <c r="X7" s="90">
        <f t="shared" si="2"/>
        <v>-1.2427637556474345</v>
      </c>
      <c r="Y7" s="79">
        <v>-9.675522406366154</v>
      </c>
      <c r="Z7" s="79">
        <v>-3.3477571494174732</v>
      </c>
      <c r="AA7" s="79">
        <v>5.6261179771408951</v>
      </c>
      <c r="AB7" s="79">
        <v>12.984387962822668</v>
      </c>
      <c r="AC7" s="79">
        <v>17.03178061450285</v>
      </c>
      <c r="AD7">
        <v>2.4711042516251907E-11</v>
      </c>
      <c r="AE7">
        <v>-9.4708328895068744E-8</v>
      </c>
      <c r="AF7">
        <v>1.1122922066398727E-4</v>
      </c>
      <c r="AG7">
        <v>-1.4461167778084079E-2</v>
      </c>
      <c r="AH7">
        <v>-13.440077342893058</v>
      </c>
      <c r="AI7" s="90">
        <f t="shared" si="3"/>
        <v>-0.32310945173749062</v>
      </c>
      <c r="AJ7" s="79">
        <v>-8.7558681024562137</v>
      </c>
      <c r="AK7" s="79">
        <v>-2.4281028455075333</v>
      </c>
      <c r="AL7" s="79">
        <v>6.5457722810508354</v>
      </c>
      <c r="AM7" s="79">
        <v>13.904042266732608</v>
      </c>
      <c r="AN7" s="79">
        <v>17.95143491841279</v>
      </c>
      <c r="AO7">
        <v>2.4711042516251907E-11</v>
      </c>
      <c r="AP7">
        <v>-9.4708328895068744E-8</v>
      </c>
      <c r="AQ7">
        <v>1.1122922066398727E-4</v>
      </c>
      <c r="AR7">
        <v>-1.4461167778084079E-2</v>
      </c>
      <c r="AS7">
        <v>-12.520423038983115</v>
      </c>
      <c r="AT7" s="90">
        <f t="shared" si="4"/>
        <v>0.78304463784160205</v>
      </c>
      <c r="AU7" s="79">
        <v>-7.649714012877121</v>
      </c>
      <c r="AV7" s="79">
        <v>-1.3219487559284406</v>
      </c>
      <c r="AW7" s="79">
        <v>7.6519263706299281</v>
      </c>
      <c r="AX7" s="79">
        <v>15.010196356311701</v>
      </c>
      <c r="AY7" s="79">
        <v>19.057589007991883</v>
      </c>
      <c r="AZ7">
        <v>2.4711042516251907E-11</v>
      </c>
      <c r="BA7">
        <v>-9.4708328895068744E-8</v>
      </c>
      <c r="BB7">
        <v>1.1122922066398727E-4</v>
      </c>
      <c r="BC7">
        <v>-1.4461167778084079E-2</v>
      </c>
      <c r="BD7">
        <v>-11.414268949404022</v>
      </c>
      <c r="BE7" s="90">
        <f t="shared" si="5"/>
        <v>1.9086187401060464</v>
      </c>
      <c r="BF7" s="79">
        <v>-6.5241399106126732</v>
      </c>
      <c r="BG7" s="79">
        <v>-0.19637465366399276</v>
      </c>
      <c r="BH7" s="79">
        <v>8.777500472894376</v>
      </c>
      <c r="BI7" s="79">
        <v>16.135770458576147</v>
      </c>
      <c r="BJ7" s="79">
        <v>20.183163110256331</v>
      </c>
      <c r="BK7">
        <v>2.4711042516251884E-11</v>
      </c>
      <c r="BL7">
        <v>-9.4708328895068717E-8</v>
      </c>
      <c r="BM7">
        <v>1.1122922066398726E-4</v>
      </c>
      <c r="BN7">
        <v>-1.4461167778084079E-2</v>
      </c>
      <c r="BO7">
        <v>-10.28869484713957</v>
      </c>
    </row>
    <row r="8" spans="1:67" x14ac:dyDescent="0.3">
      <c r="A8" s="70">
        <v>125</v>
      </c>
      <c r="B8" s="90">
        <f t="shared" si="0"/>
        <v>-1.0785240549331512</v>
      </c>
      <c r="C8" s="79">
        <v>-13.157075047889602</v>
      </c>
      <c r="D8" s="79">
        <v>-3.8514846386044868</v>
      </c>
      <c r="E8" s="79">
        <v>6.5772667235694398</v>
      </c>
      <c r="F8" s="79">
        <v>12.465343699172649</v>
      </c>
      <c r="G8" s="79">
        <v>17.958397585084867</v>
      </c>
      <c r="H8">
        <v>1.0423113477370819E-10</v>
      </c>
      <c r="I8">
        <v>-2.9502408253081055E-7</v>
      </c>
      <c r="J8">
        <v>2.656861435175724E-4</v>
      </c>
      <c r="K8">
        <v>-4.5008451471494952E-2</v>
      </c>
      <c r="L8" s="85">
        <v>-17.147102704999611</v>
      </c>
      <c r="M8" s="90">
        <f t="shared" si="1"/>
        <v>1.1170454734345761</v>
      </c>
      <c r="N8" s="79">
        <v>-10.961505519521888</v>
      </c>
      <c r="O8" s="79">
        <v>-1.6559151102367715</v>
      </c>
      <c r="P8" s="79">
        <v>8.7728362519371554</v>
      </c>
      <c r="Q8" s="79">
        <v>14.660913227540366</v>
      </c>
      <c r="R8" s="79">
        <v>20.153967113452584</v>
      </c>
      <c r="S8">
        <v>1.0423113477370859E-10</v>
      </c>
      <c r="T8">
        <v>-2.9502408253081171E-7</v>
      </c>
      <c r="U8">
        <v>2.6568614351757353E-4</v>
      </c>
      <c r="V8">
        <v>-4.5008451471495431E-2</v>
      </c>
      <c r="W8" s="85">
        <v>-14.951533176631798</v>
      </c>
      <c r="X8" s="90">
        <f t="shared" si="2"/>
        <v>3.37669863154645</v>
      </c>
      <c r="Y8" s="79">
        <v>-8.701852361410003</v>
      </c>
      <c r="Z8" s="79">
        <v>0.60373804787511398</v>
      </c>
      <c r="AA8" s="79">
        <v>11.03248941004904</v>
      </c>
      <c r="AB8" s="79">
        <v>16.920566385652251</v>
      </c>
      <c r="AC8" s="79">
        <v>22.413620271564469</v>
      </c>
      <c r="AD8">
        <v>1.0423113477370819E-10</v>
      </c>
      <c r="AE8">
        <v>-2.9502408253081055E-7</v>
      </c>
      <c r="AF8">
        <v>2.656861435175724E-4</v>
      </c>
      <c r="AG8">
        <v>-4.5008451471494952E-2</v>
      </c>
      <c r="AH8">
        <v>-12.69188001852001</v>
      </c>
      <c r="AI8" s="90">
        <f t="shared" si="3"/>
        <v>4.2963529354563867</v>
      </c>
      <c r="AJ8" s="79">
        <v>-7.7821980575000627</v>
      </c>
      <c r="AK8" s="79">
        <v>1.5233923517850538</v>
      </c>
      <c r="AL8" s="79">
        <v>11.95214371395898</v>
      </c>
      <c r="AM8" s="79">
        <v>17.840220689562191</v>
      </c>
      <c r="AN8" s="79">
        <v>23.333274575474409</v>
      </c>
      <c r="AO8">
        <v>1.0423113477370819E-10</v>
      </c>
      <c r="AP8">
        <v>-2.9502408253081055E-7</v>
      </c>
      <c r="AQ8">
        <v>2.656861435175724E-4</v>
      </c>
      <c r="AR8">
        <v>-4.5008451471494952E-2</v>
      </c>
      <c r="AS8">
        <v>-11.772225714610073</v>
      </c>
      <c r="AT8" s="90">
        <f t="shared" si="4"/>
        <v>5.4025070250354794</v>
      </c>
      <c r="AU8" s="79">
        <v>-6.67604396792097</v>
      </c>
      <c r="AV8" s="79">
        <v>2.6295464413641465</v>
      </c>
      <c r="AW8" s="79">
        <v>13.058297803538073</v>
      </c>
      <c r="AX8" s="79">
        <v>18.946374779141284</v>
      </c>
      <c r="AY8" s="79">
        <v>24.439428665053502</v>
      </c>
      <c r="AZ8">
        <v>1.0423113477370819E-10</v>
      </c>
      <c r="BA8">
        <v>-2.9502408253081055E-7</v>
      </c>
      <c r="BB8">
        <v>2.656861435175724E-4</v>
      </c>
      <c r="BC8">
        <v>-4.5008451471494952E-2</v>
      </c>
      <c r="BD8">
        <v>-10.66607162503098</v>
      </c>
      <c r="BE8" s="90">
        <f t="shared" si="5"/>
        <v>6.5280811272999166</v>
      </c>
      <c r="BF8" s="79">
        <v>-5.5504698656565221</v>
      </c>
      <c r="BG8" s="79">
        <v>3.7551205436285944</v>
      </c>
      <c r="BH8" s="79">
        <v>14.183871905802521</v>
      </c>
      <c r="BI8" s="79">
        <v>20.071948881405731</v>
      </c>
      <c r="BJ8" s="79">
        <v>25.565002767317949</v>
      </c>
      <c r="BK8">
        <v>1.0423113477370819E-10</v>
      </c>
      <c r="BL8">
        <v>-2.9502408253081055E-7</v>
      </c>
      <c r="BM8">
        <v>2.656861435175724E-4</v>
      </c>
      <c r="BN8">
        <v>-4.5008451471494952E-2</v>
      </c>
      <c r="BO8">
        <v>-9.5404975227665432</v>
      </c>
    </row>
    <row r="9" spans="1:67" x14ac:dyDescent="0.3">
      <c r="A9" s="70">
        <v>160</v>
      </c>
      <c r="B9" s="90">
        <f t="shared" si="0"/>
        <v>2.3206292218719398</v>
      </c>
      <c r="C9" s="79">
        <v>-8.2912501995383501</v>
      </c>
      <c r="D9" s="79">
        <v>-0.52905771828704662</v>
      </c>
      <c r="E9" s="79">
        <v>10.998385401858744</v>
      </c>
      <c r="F9" s="79">
        <v>17.867249618878759</v>
      </c>
      <c r="G9" s="79">
        <v>22.206499430843905</v>
      </c>
      <c r="H9">
        <v>1.3023362275495188E-10</v>
      </c>
      <c r="I9">
        <v>-4.0954355153909615E-7</v>
      </c>
      <c r="J9">
        <v>4.3140018974958776E-4</v>
      </c>
      <c r="K9">
        <v>-0.1377820851966394</v>
      </c>
      <c r="L9" s="85">
        <v>3.8228366258701101</v>
      </c>
      <c r="M9" s="90">
        <f t="shared" si="1"/>
        <v>4.5161987502396812</v>
      </c>
      <c r="N9" s="79">
        <v>-6.0956806711706353</v>
      </c>
      <c r="O9" s="79">
        <v>1.6665118100806686</v>
      </c>
      <c r="P9" s="79">
        <v>13.193954930226459</v>
      </c>
      <c r="Q9" s="79">
        <v>20.062819147246476</v>
      </c>
      <c r="R9" s="79">
        <v>24.402068959211622</v>
      </c>
      <c r="S9">
        <v>1.3023362275495188E-10</v>
      </c>
      <c r="T9">
        <v>-4.0954355153909615E-7</v>
      </c>
      <c r="U9">
        <v>4.3140018974958776E-4</v>
      </c>
      <c r="V9">
        <v>-0.1377820851966394</v>
      </c>
      <c r="W9" s="85">
        <v>6.0184061542378515</v>
      </c>
      <c r="X9" s="90">
        <f t="shared" si="2"/>
        <v>6.7758519083515125</v>
      </c>
      <c r="Y9" s="79">
        <v>-3.8360275130587502</v>
      </c>
      <c r="Z9" s="79">
        <v>3.9261649681925541</v>
      </c>
      <c r="AA9" s="79">
        <v>15.453608088338344</v>
      </c>
      <c r="AB9" s="79">
        <v>22.32247230535836</v>
      </c>
      <c r="AC9" s="79">
        <v>26.661722117323507</v>
      </c>
      <c r="AD9">
        <v>1.3023362275495162E-10</v>
      </c>
      <c r="AE9">
        <v>-4.0954355153909514E-7</v>
      </c>
      <c r="AF9">
        <v>4.3140018974958656E-4</v>
      </c>
      <c r="AG9">
        <v>-0.13778208519663881</v>
      </c>
      <c r="AH9">
        <v>8.2780593123495976</v>
      </c>
      <c r="AI9" s="90">
        <f t="shared" si="3"/>
        <v>7.6955062122615061</v>
      </c>
      <c r="AJ9" s="79">
        <v>-2.9163732091488104</v>
      </c>
      <c r="AK9" s="79">
        <v>4.845819272102494</v>
      </c>
      <c r="AL9" s="79">
        <v>16.373262392248286</v>
      </c>
      <c r="AM9" s="79">
        <v>23.242126609268301</v>
      </c>
      <c r="AN9" s="79">
        <v>27.581376421233447</v>
      </c>
      <c r="AO9">
        <v>1.3023362275495165E-10</v>
      </c>
      <c r="AP9">
        <v>-4.0954355153909525E-7</v>
      </c>
      <c r="AQ9">
        <v>4.3140018974958656E-4</v>
      </c>
      <c r="AR9">
        <v>-0.13778208519663873</v>
      </c>
      <c r="AS9">
        <v>9.1977136162595485</v>
      </c>
      <c r="AT9" s="90">
        <f t="shared" si="4"/>
        <v>8.8016603018405988</v>
      </c>
      <c r="AU9" s="79">
        <v>-1.8102191195697177</v>
      </c>
      <c r="AV9" s="79">
        <v>5.9519733616815866</v>
      </c>
      <c r="AW9" s="79">
        <v>17.479416481827379</v>
      </c>
      <c r="AX9" s="79">
        <v>24.348280698847393</v>
      </c>
      <c r="AY9" s="79">
        <v>28.68753051081254</v>
      </c>
      <c r="AZ9">
        <v>1.3023362275495165E-10</v>
      </c>
      <c r="BA9">
        <v>-4.0954355153909525E-7</v>
      </c>
      <c r="BB9">
        <v>4.3140018974958656E-4</v>
      </c>
      <c r="BC9">
        <v>-0.13778208519663873</v>
      </c>
      <c r="BD9">
        <v>10.303867705838641</v>
      </c>
      <c r="BE9" s="90">
        <f t="shared" si="5"/>
        <v>9.9272344041050502</v>
      </c>
      <c r="BF9" s="79">
        <v>-0.68464501730526983</v>
      </c>
      <c r="BG9" s="79">
        <v>7.0775474639460345</v>
      </c>
      <c r="BH9" s="79">
        <v>18.604990584091823</v>
      </c>
      <c r="BI9" s="79">
        <v>25.473854801111841</v>
      </c>
      <c r="BJ9" s="79">
        <v>29.813104613076987</v>
      </c>
      <c r="BK9">
        <v>1.3023362275495165E-10</v>
      </c>
      <c r="BL9">
        <v>-4.0954355153909541E-7</v>
      </c>
      <c r="BM9">
        <v>4.3140018974958694E-4</v>
      </c>
      <c r="BN9">
        <v>-0.13778208519663901</v>
      </c>
      <c r="BO9">
        <v>11.429441808103164</v>
      </c>
    </row>
    <row r="10" spans="1:67" x14ac:dyDescent="0.3">
      <c r="A10" s="70">
        <v>200</v>
      </c>
      <c r="B10" s="90">
        <f t="shared" si="0"/>
        <v>7.0899501256609696</v>
      </c>
      <c r="C10" s="79">
        <v>-5.3646199378186425</v>
      </c>
      <c r="D10" s="79">
        <v>4.5563552254841992</v>
      </c>
      <c r="E10" s="79">
        <v>14.4597328340638</v>
      </c>
      <c r="F10" s="79">
        <v>22.319213445656487</v>
      </c>
      <c r="G10" s="79">
        <v>26.984315664433893</v>
      </c>
      <c r="H10">
        <v>-2.4401507669910871E-11</v>
      </c>
      <c r="I10">
        <v>8.1032332668289058E-8</v>
      </c>
      <c r="J10">
        <v>-1.1826222426795981E-4</v>
      </c>
      <c r="K10">
        <v>0.1171827607521489</v>
      </c>
      <c r="L10" s="85">
        <v>-32.835109333429884</v>
      </c>
      <c r="M10" s="90">
        <f t="shared" si="1"/>
        <v>9.2855196540286897</v>
      </c>
      <c r="N10" s="79">
        <v>-3.1690504094509269</v>
      </c>
      <c r="O10" s="79">
        <v>6.7519247538519149</v>
      </c>
      <c r="P10" s="79">
        <v>16.655302362431517</v>
      </c>
      <c r="Q10" s="79">
        <v>24.514782974024204</v>
      </c>
      <c r="R10" s="79">
        <v>29.17988519280161</v>
      </c>
      <c r="S10">
        <v>-2.4401507669910086E-11</v>
      </c>
      <c r="T10">
        <v>8.1032332668286662E-8</v>
      </c>
      <c r="U10">
        <v>-1.1826222426795725E-4</v>
      </c>
      <c r="V10">
        <v>0.11718276075214779</v>
      </c>
      <c r="W10" s="85">
        <v>-30.639539805062014</v>
      </c>
      <c r="X10" s="90">
        <f t="shared" si="2"/>
        <v>11.545172812140567</v>
      </c>
      <c r="Y10" s="79">
        <v>-0.90939725133904181</v>
      </c>
      <c r="Z10" s="79">
        <v>9.0115779119637995</v>
      </c>
      <c r="AA10" s="79">
        <v>18.914955520543401</v>
      </c>
      <c r="AB10" s="79">
        <v>26.774436132136088</v>
      </c>
      <c r="AC10" s="79">
        <v>31.439538350913494</v>
      </c>
      <c r="AD10">
        <v>-2.4401507669910215E-11</v>
      </c>
      <c r="AE10">
        <v>8.103233266828698E-8</v>
      </c>
      <c r="AF10">
        <v>-1.1826222426795752E-4</v>
      </c>
      <c r="AG10">
        <v>0.11718276075214787</v>
      </c>
      <c r="AH10">
        <v>-28.37988664695013</v>
      </c>
      <c r="AI10" s="90">
        <f t="shared" si="3"/>
        <v>12.464827116050518</v>
      </c>
      <c r="AJ10" s="79">
        <v>1.0257052570898262E-2</v>
      </c>
      <c r="AK10" s="79">
        <v>9.9312322158737398</v>
      </c>
      <c r="AL10" s="79">
        <v>19.834609824453342</v>
      </c>
      <c r="AM10" s="79">
        <v>27.694090436046029</v>
      </c>
      <c r="AN10" s="79">
        <v>32.359192654823431</v>
      </c>
      <c r="AO10">
        <v>-2.4401507669910215E-11</v>
      </c>
      <c r="AP10">
        <v>8.103233266828698E-8</v>
      </c>
      <c r="AQ10">
        <v>-1.1826222426795752E-4</v>
      </c>
      <c r="AR10">
        <v>0.11718276075214787</v>
      </c>
      <c r="AS10">
        <v>-27.460232343040179</v>
      </c>
      <c r="AT10" s="90">
        <f t="shared" si="4"/>
        <v>13.570981205629611</v>
      </c>
      <c r="AU10" s="79">
        <v>1.1164111421499909</v>
      </c>
      <c r="AV10" s="79">
        <v>11.037386305452833</v>
      </c>
      <c r="AW10" s="79">
        <v>20.940763914032434</v>
      </c>
      <c r="AX10" s="79">
        <v>28.800244525625121</v>
      </c>
      <c r="AY10" s="79">
        <v>33.465346744402524</v>
      </c>
      <c r="AZ10">
        <v>-2.4401507669910215E-11</v>
      </c>
      <c r="BA10">
        <v>8.103233266828698E-8</v>
      </c>
      <c r="BB10">
        <v>-1.1826222426795752E-4</v>
      </c>
      <c r="BC10">
        <v>0.11718276075214787</v>
      </c>
      <c r="BD10">
        <v>-26.354078253461086</v>
      </c>
      <c r="BE10" s="90">
        <f t="shared" si="5"/>
        <v>14.696555307894059</v>
      </c>
      <c r="BF10" s="79">
        <v>2.2419852444144386</v>
      </c>
      <c r="BG10" s="79">
        <v>12.16296040771728</v>
      </c>
      <c r="BH10" s="79">
        <v>22.066338016296882</v>
      </c>
      <c r="BI10" s="79">
        <v>29.925818627889569</v>
      </c>
      <c r="BJ10" s="79">
        <v>34.590920846666975</v>
      </c>
      <c r="BK10">
        <v>-2.4401507669910086E-11</v>
      </c>
      <c r="BL10">
        <v>8.1032332668286662E-8</v>
      </c>
      <c r="BM10">
        <v>-1.1826222426795725E-4</v>
      </c>
      <c r="BN10">
        <v>0.11718276075214779</v>
      </c>
      <c r="BO10">
        <v>-25.228504151196645</v>
      </c>
    </row>
    <row r="11" spans="1:67" x14ac:dyDescent="0.3">
      <c r="A11" s="70">
        <v>250</v>
      </c>
      <c r="B11" s="90">
        <f t="shared" si="0"/>
        <v>11.059544949203108</v>
      </c>
      <c r="C11" s="79">
        <v>-1.8000132911193814</v>
      </c>
      <c r="D11" s="79">
        <v>8.5165719416749575</v>
      </c>
      <c r="E11" s="79">
        <v>18.244405415589739</v>
      </c>
      <c r="F11" s="79">
        <v>25.937818408013356</v>
      </c>
      <c r="G11" s="79">
        <v>31.502826136484181</v>
      </c>
      <c r="H11">
        <v>-2.0534854164244695E-11</v>
      </c>
      <c r="I11">
        <v>8.1863900640917305E-8</v>
      </c>
      <c r="J11">
        <v>-1.3284632195716844E-4</v>
      </c>
      <c r="K11">
        <v>0.12969959675894202</v>
      </c>
      <c r="L11" s="85">
        <v>-31.830259846437244</v>
      </c>
      <c r="M11" s="90">
        <f t="shared" si="1"/>
        <v>13.255114477570814</v>
      </c>
      <c r="N11" s="79">
        <v>0.39555623724833389</v>
      </c>
      <c r="O11" s="79">
        <v>10.712141470042672</v>
      </c>
      <c r="P11" s="79">
        <v>20.439974943957456</v>
      </c>
      <c r="Q11" s="79">
        <v>28.133387936381073</v>
      </c>
      <c r="R11" s="79">
        <v>33.698395664851894</v>
      </c>
      <c r="S11">
        <v>-2.0534854164244446E-11</v>
      </c>
      <c r="T11">
        <v>8.1863900640916511E-8</v>
      </c>
      <c r="U11">
        <v>-1.3284632195716752E-4</v>
      </c>
      <c r="V11">
        <v>0.12969959675894155</v>
      </c>
      <c r="W11" s="85">
        <v>-29.634690318069453</v>
      </c>
      <c r="X11" s="90">
        <f t="shared" si="2"/>
        <v>15.514767635682738</v>
      </c>
      <c r="Y11" s="79">
        <v>2.6552093953602194</v>
      </c>
      <c r="Z11" s="79">
        <v>12.971794628154557</v>
      </c>
      <c r="AA11" s="79">
        <v>22.69962810206934</v>
      </c>
      <c r="AB11" s="79">
        <v>30.393041094492958</v>
      </c>
      <c r="AC11" s="79">
        <v>35.958048822963782</v>
      </c>
      <c r="AD11">
        <v>-2.0534854164244291E-11</v>
      </c>
      <c r="AE11">
        <v>8.1863900640916022E-8</v>
      </c>
      <c r="AF11">
        <v>-1.3284632195716703E-4</v>
      </c>
      <c r="AG11">
        <v>0.12969959675894138</v>
      </c>
      <c r="AH11">
        <v>-27.375037159957522</v>
      </c>
      <c r="AI11" s="90">
        <f t="shared" si="3"/>
        <v>16.43442193959266</v>
      </c>
      <c r="AJ11" s="79">
        <v>3.5748636992701592</v>
      </c>
      <c r="AK11" s="79">
        <v>13.891448932064497</v>
      </c>
      <c r="AL11" s="79">
        <v>23.619282405979281</v>
      </c>
      <c r="AM11" s="79">
        <v>31.312695398402898</v>
      </c>
      <c r="AN11" s="79">
        <v>36.877703126873726</v>
      </c>
      <c r="AO11">
        <v>-2.0534854164244161E-11</v>
      </c>
      <c r="AP11">
        <v>8.1863900640915651E-8</v>
      </c>
      <c r="AQ11">
        <v>-1.3284632195716662E-4</v>
      </c>
      <c r="AR11">
        <v>0.12969959675894119</v>
      </c>
      <c r="AS11">
        <v>-26.455382856047557</v>
      </c>
      <c r="AT11" s="90">
        <f t="shared" si="4"/>
        <v>17.540576029171724</v>
      </c>
      <c r="AU11" s="79">
        <v>4.6810177888492515</v>
      </c>
      <c r="AV11" s="79">
        <v>14.99760302164359</v>
      </c>
      <c r="AW11" s="79">
        <v>24.725436495558373</v>
      </c>
      <c r="AX11" s="79">
        <v>32.418849487981987</v>
      </c>
      <c r="AY11" s="79">
        <v>37.983857216452819</v>
      </c>
      <c r="AZ11">
        <v>-2.0534854164244145E-11</v>
      </c>
      <c r="BA11">
        <v>8.1863900640915651E-8</v>
      </c>
      <c r="BB11">
        <v>-1.3284632195716671E-4</v>
      </c>
      <c r="BC11">
        <v>0.12969959675894127</v>
      </c>
      <c r="BD11">
        <v>-25.349228766468521</v>
      </c>
      <c r="BE11" s="90">
        <f t="shared" si="5"/>
        <v>18.666150131436183</v>
      </c>
      <c r="BF11" s="79">
        <v>5.8065918911136993</v>
      </c>
      <c r="BG11" s="79">
        <v>16.123177123908036</v>
      </c>
      <c r="BH11" s="79">
        <v>25.851010597822821</v>
      </c>
      <c r="BI11" s="79">
        <v>33.544423590246438</v>
      </c>
      <c r="BJ11" s="79">
        <v>39.109431318717263</v>
      </c>
      <c r="BK11">
        <v>-2.0534854164244449E-11</v>
      </c>
      <c r="BL11">
        <v>8.1863900640916511E-8</v>
      </c>
      <c r="BM11">
        <v>-1.3284632195716752E-4</v>
      </c>
      <c r="BN11">
        <v>0.12969959675894155</v>
      </c>
      <c r="BO11">
        <v>-24.223654664204084</v>
      </c>
    </row>
    <row r="12" spans="1:67" x14ac:dyDescent="0.3">
      <c r="A12" s="70">
        <v>315</v>
      </c>
      <c r="B12" s="90">
        <f t="shared" si="0"/>
        <v>14.621996586224142</v>
      </c>
      <c r="C12" s="79">
        <v>-2.4005015317180467</v>
      </c>
      <c r="D12" s="79">
        <v>11.90757819794328</v>
      </c>
      <c r="E12" s="79">
        <v>21.351655821729196</v>
      </c>
      <c r="F12" s="79">
        <v>29.116789723283212</v>
      </c>
      <c r="G12" s="79">
        <v>33.925769491680349</v>
      </c>
      <c r="H12">
        <v>-1.3610781224384355E-10</v>
      </c>
      <c r="I12">
        <v>4.6174251613730814E-7</v>
      </c>
      <c r="J12">
        <v>-5.8632290117096632E-4</v>
      </c>
      <c r="K12">
        <v>0.36141146140656055</v>
      </c>
      <c r="L12" s="85">
        <v>-71.159325211373286</v>
      </c>
      <c r="M12" s="90">
        <f t="shared" si="1"/>
        <v>16.817566114591827</v>
      </c>
      <c r="N12" s="79">
        <v>-0.20493200335033146</v>
      </c>
      <c r="O12" s="79">
        <v>14.103147726310997</v>
      </c>
      <c r="P12" s="79">
        <v>23.547225350096912</v>
      </c>
      <c r="Q12" s="79">
        <v>31.312359251650928</v>
      </c>
      <c r="R12" s="79">
        <v>36.121339020048062</v>
      </c>
      <c r="S12">
        <v>-1.3610781224384386E-10</v>
      </c>
      <c r="T12">
        <v>4.617425161373091E-7</v>
      </c>
      <c r="U12">
        <v>-5.8632290117096729E-4</v>
      </c>
      <c r="V12">
        <v>0.361411461406561</v>
      </c>
      <c r="W12" s="85">
        <v>-68.963755683005701</v>
      </c>
      <c r="X12" s="90">
        <f t="shared" si="2"/>
        <v>19.077219272703744</v>
      </c>
      <c r="Y12" s="79">
        <v>2.054721154761554</v>
      </c>
      <c r="Z12" s="79">
        <v>16.362800884422882</v>
      </c>
      <c r="AA12" s="79">
        <v>25.806878508208797</v>
      </c>
      <c r="AB12" s="79">
        <v>33.572012409762813</v>
      </c>
      <c r="AC12" s="79">
        <v>38.38099217815995</v>
      </c>
      <c r="AD12">
        <v>-1.3610781224384355E-10</v>
      </c>
      <c r="AE12">
        <v>4.6174251613730814E-7</v>
      </c>
      <c r="AF12">
        <v>-5.8632290117096632E-4</v>
      </c>
      <c r="AG12">
        <v>0.36141146140656055</v>
      </c>
      <c r="AH12">
        <v>-66.704102524893685</v>
      </c>
      <c r="AI12" s="90">
        <f t="shared" si="3"/>
        <v>19.996873576613666</v>
      </c>
      <c r="AJ12" s="79">
        <v>2.9743754586714939</v>
      </c>
      <c r="AK12" s="79">
        <v>17.282455188332822</v>
      </c>
      <c r="AL12" s="79">
        <v>26.726532812118737</v>
      </c>
      <c r="AM12" s="79">
        <v>34.491666713672757</v>
      </c>
      <c r="AN12" s="79">
        <v>39.300646482069894</v>
      </c>
      <c r="AO12">
        <v>-1.3610781224384353E-10</v>
      </c>
      <c r="AP12">
        <v>4.6174251613730814E-7</v>
      </c>
      <c r="AQ12">
        <v>-5.8632290117096632E-4</v>
      </c>
      <c r="AR12">
        <v>0.36141146140656055</v>
      </c>
      <c r="AS12">
        <v>-65.784448220983762</v>
      </c>
      <c r="AT12" s="90">
        <f t="shared" si="4"/>
        <v>21.103027666192759</v>
      </c>
      <c r="AU12" s="79">
        <v>4.0805295482505866</v>
      </c>
      <c r="AV12" s="79">
        <v>18.388609277911915</v>
      </c>
      <c r="AW12" s="79">
        <v>27.83268690169783</v>
      </c>
      <c r="AX12" s="79">
        <v>35.597820803251849</v>
      </c>
      <c r="AY12" s="79">
        <v>40.406800571648986</v>
      </c>
      <c r="AZ12">
        <v>-1.3610781224384353E-10</v>
      </c>
      <c r="BA12">
        <v>4.6174251613730814E-7</v>
      </c>
      <c r="BB12">
        <v>-5.8632290117096632E-4</v>
      </c>
      <c r="BC12">
        <v>0.36141146140656055</v>
      </c>
      <c r="BD12">
        <v>-64.67829413140467</v>
      </c>
      <c r="BE12" s="90">
        <f t="shared" si="5"/>
        <v>22.22860176845721</v>
      </c>
      <c r="BF12" s="79">
        <v>5.2061036505150344</v>
      </c>
      <c r="BG12" s="79">
        <v>19.514183380176362</v>
      </c>
      <c r="BH12" s="79">
        <v>28.958261003962278</v>
      </c>
      <c r="BI12" s="79">
        <v>36.723394905516294</v>
      </c>
      <c r="BJ12" s="79">
        <v>41.532374673913431</v>
      </c>
      <c r="BK12">
        <v>-1.3610781224384355E-10</v>
      </c>
      <c r="BL12">
        <v>4.6174251613730814E-7</v>
      </c>
      <c r="BM12">
        <v>-5.8632290117096632E-4</v>
      </c>
      <c r="BN12">
        <v>0.36141146140656055</v>
      </c>
      <c r="BO12">
        <v>-63.552720029140218</v>
      </c>
    </row>
    <row r="13" spans="1:67" x14ac:dyDescent="0.3">
      <c r="A13" s="70">
        <v>400</v>
      </c>
      <c r="B13" s="90">
        <f t="shared" si="0"/>
        <v>14.621888584201528</v>
      </c>
      <c r="C13" s="79">
        <v>0.47745502855105126</v>
      </c>
      <c r="D13" s="79">
        <v>11.286824332678524</v>
      </c>
      <c r="E13" s="79">
        <v>23.839044142413059</v>
      </c>
      <c r="F13" s="79">
        <v>30.280705316037945</v>
      </c>
      <c r="G13" s="79">
        <v>35.442798191223808</v>
      </c>
      <c r="H13">
        <v>1.3780673607893228E-10</v>
      </c>
      <c r="I13">
        <v>-4.0192938341405108E-7</v>
      </c>
      <c r="J13">
        <v>3.7710844355811262E-4</v>
      </c>
      <c r="K13">
        <v>-8.2797133048441163E-2</v>
      </c>
      <c r="L13" s="85">
        <v>0.3458311067050488</v>
      </c>
      <c r="M13" s="90">
        <f t="shared" si="1"/>
        <v>16.817458112569248</v>
      </c>
      <c r="N13" s="79">
        <v>2.6730245569187665</v>
      </c>
      <c r="O13" s="79">
        <v>13.482393861046239</v>
      </c>
      <c r="P13" s="79">
        <v>26.034613670780775</v>
      </c>
      <c r="Q13" s="79">
        <v>32.476274844405658</v>
      </c>
      <c r="R13" s="79">
        <v>37.638367719591521</v>
      </c>
      <c r="S13">
        <v>1.3780673607893277E-10</v>
      </c>
      <c r="T13">
        <v>-4.0192938341405245E-7</v>
      </c>
      <c r="U13">
        <v>3.7710844355811403E-4</v>
      </c>
      <c r="V13">
        <v>-8.2797133048441662E-2</v>
      </c>
      <c r="W13" s="85">
        <v>2.5414006350728044</v>
      </c>
      <c r="X13" s="90">
        <f t="shared" si="2"/>
        <v>19.077111270681115</v>
      </c>
      <c r="Y13" s="79">
        <v>4.9326777150306516</v>
      </c>
      <c r="Z13" s="79">
        <v>15.742047019158123</v>
      </c>
      <c r="AA13" s="79">
        <v>28.29426682889266</v>
      </c>
      <c r="AB13" s="79">
        <v>34.735928002517547</v>
      </c>
      <c r="AC13" s="79">
        <v>39.898020877703409</v>
      </c>
      <c r="AD13">
        <v>1.378067360789323E-10</v>
      </c>
      <c r="AE13">
        <v>-4.0192938341405118E-7</v>
      </c>
      <c r="AF13">
        <v>3.7710844355811279E-4</v>
      </c>
      <c r="AG13">
        <v>-8.2797133048441163E-2</v>
      </c>
      <c r="AH13">
        <v>4.8010537931846073</v>
      </c>
      <c r="AI13" s="90">
        <f t="shared" si="3"/>
        <v>19.996765574591052</v>
      </c>
      <c r="AJ13" s="79">
        <v>5.8523320189405919</v>
      </c>
      <c r="AK13" s="79">
        <v>16.661701323068066</v>
      </c>
      <c r="AL13" s="79">
        <v>29.2139211328026</v>
      </c>
      <c r="AM13" s="79">
        <v>35.65558230642749</v>
      </c>
      <c r="AN13" s="79">
        <v>40.817675181613353</v>
      </c>
      <c r="AO13">
        <v>1.378067360789323E-10</v>
      </c>
      <c r="AP13">
        <v>-4.0192938341405139E-7</v>
      </c>
      <c r="AQ13">
        <v>3.7710844355811311E-4</v>
      </c>
      <c r="AR13">
        <v>-8.2797133048441343E-2</v>
      </c>
      <c r="AS13">
        <v>5.7207080970945725</v>
      </c>
      <c r="AT13" s="90">
        <f t="shared" si="4"/>
        <v>21.102919664170145</v>
      </c>
      <c r="AU13" s="79">
        <v>6.9584861085196845</v>
      </c>
      <c r="AV13" s="79">
        <v>17.767855412647158</v>
      </c>
      <c r="AW13" s="79">
        <v>30.320075222381693</v>
      </c>
      <c r="AX13" s="79">
        <v>36.761736396006583</v>
      </c>
      <c r="AY13" s="79">
        <v>41.923829271192446</v>
      </c>
      <c r="AZ13">
        <v>1.378067360789323E-10</v>
      </c>
      <c r="BA13">
        <v>-4.0192938341405139E-7</v>
      </c>
      <c r="BB13">
        <v>3.7710844355811311E-4</v>
      </c>
      <c r="BC13">
        <v>-8.2797133048441343E-2</v>
      </c>
      <c r="BD13">
        <v>6.8268621866736652</v>
      </c>
      <c r="BE13" s="90">
        <f t="shared" si="5"/>
        <v>22.22849376643461</v>
      </c>
      <c r="BF13" s="79">
        <v>8.0840602107841324</v>
      </c>
      <c r="BG13" s="79">
        <v>18.893429514911602</v>
      </c>
      <c r="BH13" s="79">
        <v>31.445649324646141</v>
      </c>
      <c r="BI13" s="79">
        <v>37.887310498271027</v>
      </c>
      <c r="BJ13" s="79">
        <v>43.04940337345689</v>
      </c>
      <c r="BK13">
        <v>1.3780673607893282E-10</v>
      </c>
      <c r="BL13">
        <v>-4.0192938341405293E-7</v>
      </c>
      <c r="BM13">
        <v>3.7710844355811474E-4</v>
      </c>
      <c r="BN13">
        <v>-8.2797133048442093E-2</v>
      </c>
      <c r="BO13">
        <v>7.9524362889382587</v>
      </c>
    </row>
    <row r="14" spans="1:67" x14ac:dyDescent="0.3">
      <c r="A14" s="70">
        <v>500</v>
      </c>
      <c r="B14" s="90">
        <f t="shared" si="0"/>
        <v>12.188980302134993</v>
      </c>
      <c r="C14" s="79">
        <v>-0.78610393129895018</v>
      </c>
      <c r="D14" s="79">
        <v>8.6645528507277767</v>
      </c>
      <c r="E14" s="79">
        <v>22.846013709270437</v>
      </c>
      <c r="F14" s="79">
        <v>30.863462948780246</v>
      </c>
      <c r="G14" s="79">
        <v>35.845804616741596</v>
      </c>
      <c r="H14">
        <v>1.743065447353354E-10</v>
      </c>
      <c r="I14">
        <v>-5.4670077693335222E-7</v>
      </c>
      <c r="J14">
        <v>5.7521117803713501E-4</v>
      </c>
      <c r="K14">
        <v>-0.1885754170187656</v>
      </c>
      <c r="L14" s="85">
        <v>16.911281809321423</v>
      </c>
      <c r="M14" s="90">
        <f t="shared" si="1"/>
        <v>14.384549830502763</v>
      </c>
      <c r="N14" s="79">
        <v>1.4094655970687651</v>
      </c>
      <c r="O14" s="79">
        <v>10.860122379095491</v>
      </c>
      <c r="P14" s="79">
        <v>25.041583237638154</v>
      </c>
      <c r="Q14" s="79">
        <v>33.059032477147959</v>
      </c>
      <c r="R14" s="79">
        <v>38.041374145109309</v>
      </c>
      <c r="S14">
        <v>1.7430654473533589E-10</v>
      </c>
      <c r="T14">
        <v>-5.4670077693335381E-7</v>
      </c>
      <c r="U14">
        <v>5.7521117803713674E-4</v>
      </c>
      <c r="V14">
        <v>-0.18857541701876637</v>
      </c>
      <c r="W14" s="85">
        <v>19.106851337689307</v>
      </c>
      <c r="X14" s="90">
        <f t="shared" si="2"/>
        <v>16.64420298861458</v>
      </c>
      <c r="Y14" s="79">
        <v>3.6691187551806506</v>
      </c>
      <c r="Z14" s="79">
        <v>13.119775537207376</v>
      </c>
      <c r="AA14" s="79">
        <v>27.301236395750038</v>
      </c>
      <c r="AB14" s="79">
        <v>35.318685635259847</v>
      </c>
      <c r="AC14" s="79">
        <v>40.301027303221197</v>
      </c>
      <c r="AD14">
        <v>1.743065447353355E-10</v>
      </c>
      <c r="AE14">
        <v>-5.4670077693335265E-7</v>
      </c>
      <c r="AF14">
        <v>5.7521117803713555E-4</v>
      </c>
      <c r="AG14">
        <v>-0.1885754170187659</v>
      </c>
      <c r="AH14">
        <v>21.366504495801067</v>
      </c>
      <c r="AI14" s="90">
        <f t="shared" si="3"/>
        <v>17.563857292524503</v>
      </c>
      <c r="AJ14" s="79">
        <v>4.58877305909059</v>
      </c>
      <c r="AK14" s="79">
        <v>14.039429841117316</v>
      </c>
      <c r="AL14" s="79">
        <v>28.220890699659979</v>
      </c>
      <c r="AM14" s="79">
        <v>36.238339939169791</v>
      </c>
      <c r="AN14" s="79">
        <v>41.220681607131141</v>
      </c>
      <c r="AO14">
        <v>1.7430654473533514E-10</v>
      </c>
      <c r="AP14">
        <v>-5.4670077693335159E-7</v>
      </c>
      <c r="AQ14">
        <v>5.7521117803713447E-4</v>
      </c>
      <c r="AR14">
        <v>-0.18857541701876543</v>
      </c>
      <c r="AS14">
        <v>22.286158799710932</v>
      </c>
      <c r="AT14" s="90">
        <f t="shared" si="4"/>
        <v>18.670011382103596</v>
      </c>
      <c r="AU14" s="79">
        <v>5.6949271486696826</v>
      </c>
      <c r="AV14" s="79">
        <v>15.145583930696409</v>
      </c>
      <c r="AW14" s="79">
        <v>29.327044789239071</v>
      </c>
      <c r="AX14" s="79">
        <v>37.344494028748883</v>
      </c>
      <c r="AY14" s="79">
        <v>42.326835696710233</v>
      </c>
      <c r="AZ14">
        <v>1.7430654473533514E-10</v>
      </c>
      <c r="BA14">
        <v>-5.4670077693335159E-7</v>
      </c>
      <c r="BB14">
        <v>5.7521117803713447E-4</v>
      </c>
      <c r="BC14">
        <v>-0.18857541701876543</v>
      </c>
      <c r="BD14">
        <v>23.392312889290025</v>
      </c>
      <c r="BE14" s="90">
        <f t="shared" si="5"/>
        <v>19.795585484368075</v>
      </c>
      <c r="BF14" s="79">
        <v>6.8205012509341305</v>
      </c>
      <c r="BG14" s="79">
        <v>16.271158032960855</v>
      </c>
      <c r="BH14" s="79">
        <v>30.452618891503519</v>
      </c>
      <c r="BI14" s="79">
        <v>38.470068131013328</v>
      </c>
      <c r="BJ14" s="79">
        <v>43.452409798974678</v>
      </c>
      <c r="BK14">
        <v>1.743065447353355E-10</v>
      </c>
      <c r="BL14">
        <v>-5.4670077693335265E-7</v>
      </c>
      <c r="BM14">
        <v>5.7521117803713555E-4</v>
      </c>
      <c r="BN14">
        <v>-0.1885754170187659</v>
      </c>
      <c r="BO14">
        <v>24.517886991554562</v>
      </c>
    </row>
    <row r="15" spans="1:67" x14ac:dyDescent="0.3">
      <c r="A15" s="70">
        <v>630</v>
      </c>
      <c r="B15" s="90">
        <f t="shared" si="0"/>
        <v>11.973803406295787</v>
      </c>
      <c r="C15" s="79">
        <v>2.7273227255501835</v>
      </c>
      <c r="D15" s="79">
        <v>9.1147756770711261</v>
      </c>
      <c r="E15" s="79">
        <v>21.990334545781366</v>
      </c>
      <c r="F15" s="79">
        <v>32.166591114034198</v>
      </c>
      <c r="G15" s="79">
        <v>37.025863419593414</v>
      </c>
      <c r="H15">
        <v>9.593271048247337E-11</v>
      </c>
      <c r="I15">
        <v>-3.4667716519438211E-7</v>
      </c>
      <c r="J15">
        <v>4.2193788958287101E-4</v>
      </c>
      <c r="K15">
        <v>-0.15963470655306283</v>
      </c>
      <c r="L15" s="85">
        <v>21.03665118229037</v>
      </c>
      <c r="M15" s="90">
        <f t="shared" si="1"/>
        <v>14.169372934663556</v>
      </c>
      <c r="N15" s="79">
        <v>4.9228922539178992</v>
      </c>
      <c r="O15" s="79">
        <v>11.310345205438841</v>
      </c>
      <c r="P15" s="79">
        <v>24.185904074149082</v>
      </c>
      <c r="Q15" s="79">
        <v>34.362160642401911</v>
      </c>
      <c r="R15" s="79">
        <v>39.221432947961127</v>
      </c>
      <c r="S15">
        <v>9.5932710482473926E-11</v>
      </c>
      <c r="T15">
        <v>-3.4667716519438381E-7</v>
      </c>
      <c r="U15">
        <v>4.2193788958287286E-4</v>
      </c>
      <c r="V15">
        <v>-0.15963470655306367</v>
      </c>
      <c r="W15" s="85">
        <v>23.232220710658254</v>
      </c>
      <c r="X15" s="90">
        <f t="shared" si="2"/>
        <v>16.429026092775416</v>
      </c>
      <c r="Y15" s="79">
        <v>7.1825454120297838</v>
      </c>
      <c r="Z15" s="79">
        <v>13.569998363550726</v>
      </c>
      <c r="AA15" s="79">
        <v>26.445557232260967</v>
      </c>
      <c r="AB15" s="79">
        <v>36.621813800513799</v>
      </c>
      <c r="AC15" s="79">
        <v>41.481086106073015</v>
      </c>
      <c r="AD15">
        <v>9.5932710482474146E-11</v>
      </c>
      <c r="AE15">
        <v>-3.466771651943845E-7</v>
      </c>
      <c r="AF15">
        <v>4.2193788958287356E-4</v>
      </c>
      <c r="AG15">
        <v>-0.15963470655306394</v>
      </c>
      <c r="AH15">
        <v>25.491873868770156</v>
      </c>
      <c r="AI15" s="90">
        <f t="shared" si="3"/>
        <v>17.348680396685396</v>
      </c>
      <c r="AJ15" s="79">
        <v>8.1021997159397241</v>
      </c>
      <c r="AK15" s="79">
        <v>14.489652667460666</v>
      </c>
      <c r="AL15" s="79">
        <v>27.365211536170907</v>
      </c>
      <c r="AM15" s="79">
        <v>37.541468104423743</v>
      </c>
      <c r="AN15" s="79">
        <v>42.400740409982959</v>
      </c>
      <c r="AO15">
        <v>9.5932710482473797E-11</v>
      </c>
      <c r="AP15">
        <v>-3.4667716519438333E-7</v>
      </c>
      <c r="AQ15">
        <v>4.2193788958287226E-4</v>
      </c>
      <c r="AR15">
        <v>-0.15963470655306339</v>
      </c>
      <c r="AS15">
        <v>26.41152817268005</v>
      </c>
      <c r="AT15" s="90">
        <f t="shared" si="4"/>
        <v>18.454834486264488</v>
      </c>
      <c r="AU15" s="79">
        <v>9.2083538055188168</v>
      </c>
      <c r="AV15" s="79">
        <v>15.595806757039758</v>
      </c>
      <c r="AW15" s="79">
        <v>28.47136562575</v>
      </c>
      <c r="AX15" s="79">
        <v>38.647622194002835</v>
      </c>
      <c r="AY15" s="79">
        <v>43.506894499562051</v>
      </c>
      <c r="AZ15">
        <v>9.5932710482473797E-11</v>
      </c>
      <c r="BA15">
        <v>-3.4667716519438333E-7</v>
      </c>
      <c r="BB15">
        <v>4.2193788958287226E-4</v>
      </c>
      <c r="BC15">
        <v>-0.15963470655306339</v>
      </c>
      <c r="BD15">
        <v>27.517682262259143</v>
      </c>
      <c r="BE15" s="90">
        <f t="shared" si="5"/>
        <v>19.580408588528883</v>
      </c>
      <c r="BF15" s="79">
        <v>10.333927907783265</v>
      </c>
      <c r="BG15" s="79">
        <v>16.721380859304205</v>
      </c>
      <c r="BH15" s="79">
        <v>29.596939728014448</v>
      </c>
      <c r="BI15" s="79">
        <v>39.77319629626728</v>
      </c>
      <c r="BJ15" s="79">
        <v>44.632468601826496</v>
      </c>
      <c r="BK15">
        <v>9.5932710482473693E-11</v>
      </c>
      <c r="BL15">
        <v>-3.4667716519438307E-7</v>
      </c>
      <c r="BM15">
        <v>4.2193788958287193E-4</v>
      </c>
      <c r="BN15">
        <v>-0.15963470655306319</v>
      </c>
      <c r="BO15">
        <v>28.643256364523509</v>
      </c>
    </row>
    <row r="16" spans="1:67" x14ac:dyDescent="0.3">
      <c r="A16" s="70">
        <v>800</v>
      </c>
      <c r="B16" s="90">
        <f t="shared" si="0"/>
        <v>14.411222913293088</v>
      </c>
      <c r="C16" s="79">
        <v>6.7022677691788131</v>
      </c>
      <c r="D16" s="79">
        <v>11.913510932445632</v>
      </c>
      <c r="E16" s="79">
        <v>23.350805839244686</v>
      </c>
      <c r="F16" s="79">
        <v>33.096509128440296</v>
      </c>
      <c r="G16" s="79">
        <v>39.788672539470902</v>
      </c>
      <c r="H16">
        <v>1.0353865051543675E-10</v>
      </c>
      <c r="I16">
        <v>-3.5483724386832119E-7</v>
      </c>
      <c r="J16">
        <v>4.233936335720222E-4</v>
      </c>
      <c r="K16">
        <v>-0.16538774999081343</v>
      </c>
      <c r="L16" s="85">
        <v>26.859524062567516</v>
      </c>
      <c r="M16" s="90">
        <f t="shared" si="1"/>
        <v>16.606792441660758</v>
      </c>
      <c r="N16" s="79">
        <v>8.8978372975465287</v>
      </c>
      <c r="O16" s="79">
        <v>14.109080460813349</v>
      </c>
      <c r="P16" s="79">
        <v>25.546375367612402</v>
      </c>
      <c r="Q16" s="79">
        <v>35.292078656808009</v>
      </c>
      <c r="R16" s="79">
        <v>41.984242067838615</v>
      </c>
      <c r="S16">
        <v>1.0353865051543655E-10</v>
      </c>
      <c r="T16">
        <v>-3.548372438683206E-7</v>
      </c>
      <c r="U16">
        <v>4.2339363357202155E-4</v>
      </c>
      <c r="V16">
        <v>-0.16538774999081313</v>
      </c>
      <c r="W16" s="85">
        <v>29.05509359093513</v>
      </c>
      <c r="X16" s="90">
        <f t="shared" si="2"/>
        <v>18.866445599772689</v>
      </c>
      <c r="Y16" s="79">
        <v>11.157490455658413</v>
      </c>
      <c r="Z16" s="79">
        <v>16.368733618925233</v>
      </c>
      <c r="AA16" s="79">
        <v>27.806028525724287</v>
      </c>
      <c r="AB16" s="79">
        <v>37.551731814919897</v>
      </c>
      <c r="AC16" s="79">
        <v>44.243895225950503</v>
      </c>
      <c r="AD16">
        <v>1.0353865051543644E-10</v>
      </c>
      <c r="AE16">
        <v>-3.5483724386832029E-7</v>
      </c>
      <c r="AF16">
        <v>4.2339363357202123E-4</v>
      </c>
      <c r="AG16">
        <v>-0.16538774999081296</v>
      </c>
      <c r="AH16">
        <v>31.314746749047018</v>
      </c>
      <c r="AI16" s="90">
        <f t="shared" si="3"/>
        <v>19.786099903682583</v>
      </c>
      <c r="AJ16" s="79">
        <v>12.077144759568354</v>
      </c>
      <c r="AK16" s="79">
        <v>17.288387922835174</v>
      </c>
      <c r="AL16" s="79">
        <v>28.725682829634227</v>
      </c>
      <c r="AM16" s="79">
        <v>38.471386118829841</v>
      </c>
      <c r="AN16" s="79">
        <v>45.163549529860447</v>
      </c>
      <c r="AO16">
        <v>1.0353865051543659E-10</v>
      </c>
      <c r="AP16">
        <v>-3.5483724386832071E-7</v>
      </c>
      <c r="AQ16">
        <v>4.2339363357202171E-4</v>
      </c>
      <c r="AR16">
        <v>-0.16538774999081324</v>
      </c>
      <c r="AS16">
        <v>32.234401052956983</v>
      </c>
      <c r="AT16" s="90">
        <f t="shared" si="4"/>
        <v>20.892253993261676</v>
      </c>
      <c r="AU16" s="79">
        <v>13.183298849147446</v>
      </c>
      <c r="AV16" s="79">
        <v>18.394542012414266</v>
      </c>
      <c r="AW16" s="79">
        <v>29.83183691921332</v>
      </c>
      <c r="AX16" s="79">
        <v>39.577540208408934</v>
      </c>
      <c r="AY16" s="79">
        <v>46.269703619439539</v>
      </c>
      <c r="AZ16">
        <v>1.0353865051543659E-10</v>
      </c>
      <c r="BA16">
        <v>-3.5483724386832071E-7</v>
      </c>
      <c r="BB16">
        <v>4.2339363357202171E-4</v>
      </c>
      <c r="BC16">
        <v>-0.16538774999081324</v>
      </c>
      <c r="BD16">
        <v>33.340555142536076</v>
      </c>
      <c r="BE16" s="90">
        <f t="shared" si="5"/>
        <v>22.017828095526156</v>
      </c>
      <c r="BF16" s="79">
        <v>14.308872951411894</v>
      </c>
      <c r="BG16" s="79">
        <v>19.520116114678714</v>
      </c>
      <c r="BH16" s="79">
        <v>30.957411021477768</v>
      </c>
      <c r="BI16" s="79">
        <v>40.703114310673378</v>
      </c>
      <c r="BJ16" s="79">
        <v>47.395277721703984</v>
      </c>
      <c r="BK16">
        <v>1.0353865051543675E-10</v>
      </c>
      <c r="BL16">
        <v>-3.5483724386832119E-7</v>
      </c>
      <c r="BM16">
        <v>4.233936335720222E-4</v>
      </c>
      <c r="BN16">
        <v>-0.16538774999081343</v>
      </c>
      <c r="BO16">
        <v>34.466129244800584</v>
      </c>
    </row>
    <row r="17" spans="1:67" x14ac:dyDescent="0.3">
      <c r="A17" s="70">
        <v>1000</v>
      </c>
      <c r="B17" s="90">
        <f t="shared" si="0"/>
        <v>13.997035868343028</v>
      </c>
      <c r="C17" s="79">
        <v>6.394409777628737</v>
      </c>
      <c r="D17" s="79">
        <v>11.959328796295303</v>
      </c>
      <c r="E17" s="79">
        <v>21.518916784210262</v>
      </c>
      <c r="F17" s="79">
        <v>31.682931095905097</v>
      </c>
      <c r="G17" s="79">
        <v>38.232685880911227</v>
      </c>
      <c r="H17">
        <v>-6.5350081085927124E-12</v>
      </c>
      <c r="I17">
        <v>-1.2637490069479972E-8</v>
      </c>
      <c r="J17">
        <v>5.1441704161316446E-5</v>
      </c>
      <c r="K17">
        <v>-2.6083690062741298E-3</v>
      </c>
      <c r="L17" s="85">
        <v>2.5710798090422173</v>
      </c>
      <c r="M17" s="90">
        <f t="shared" si="1"/>
        <v>16.192605396710739</v>
      </c>
      <c r="N17" s="79">
        <v>8.5899793059964527</v>
      </c>
      <c r="O17" s="79">
        <v>14.154898324663019</v>
      </c>
      <c r="P17" s="79">
        <v>23.714486312577979</v>
      </c>
      <c r="Q17" s="79">
        <v>33.87850062427281</v>
      </c>
      <c r="R17" s="79">
        <v>40.42825540927894</v>
      </c>
      <c r="S17">
        <v>-6.5350081085923044E-12</v>
      </c>
      <c r="T17">
        <v>-1.2637490069481173E-8</v>
      </c>
      <c r="U17">
        <v>5.1441704161317679E-5</v>
      </c>
      <c r="V17">
        <v>-2.6083690062746433E-3</v>
      </c>
      <c r="W17" s="85">
        <v>4.7666493374100005</v>
      </c>
      <c r="X17" s="90">
        <f t="shared" si="2"/>
        <v>18.452258554822627</v>
      </c>
      <c r="Y17" s="79">
        <v>10.849632464108337</v>
      </c>
      <c r="Z17" s="79">
        <v>16.414551482774904</v>
      </c>
      <c r="AA17" s="79">
        <v>25.974139470689863</v>
      </c>
      <c r="AB17" s="79">
        <v>36.138153782384698</v>
      </c>
      <c r="AC17" s="79">
        <v>42.687908567390828</v>
      </c>
      <c r="AD17">
        <v>-6.5350081085927124E-12</v>
      </c>
      <c r="AE17">
        <v>-1.2637490069479972E-8</v>
      </c>
      <c r="AF17">
        <v>5.1441704161316446E-5</v>
      </c>
      <c r="AG17">
        <v>-2.6083690062741298E-3</v>
      </c>
      <c r="AH17">
        <v>7.0263024955218185</v>
      </c>
      <c r="AI17" s="90">
        <f t="shared" si="3"/>
        <v>19.371912858732571</v>
      </c>
      <c r="AJ17" s="79">
        <v>11.769286768018278</v>
      </c>
      <c r="AK17" s="79">
        <v>17.334205786684844</v>
      </c>
      <c r="AL17" s="79">
        <v>26.893793774599803</v>
      </c>
      <c r="AM17" s="79">
        <v>37.057808086294642</v>
      </c>
      <c r="AN17" s="79">
        <v>43.607562871300772</v>
      </c>
      <c r="AO17">
        <v>-6.5350081085929612E-12</v>
      </c>
      <c r="AP17">
        <v>-1.2637490069479342E-8</v>
      </c>
      <c r="AQ17">
        <v>5.1441704161315924E-5</v>
      </c>
      <c r="AR17">
        <v>-2.6083690062739719E-3</v>
      </c>
      <c r="AS17">
        <v>7.9459567994317499</v>
      </c>
      <c r="AT17" s="90">
        <f t="shared" si="4"/>
        <v>20.478066948311664</v>
      </c>
      <c r="AU17" s="79">
        <v>12.87544085759737</v>
      </c>
      <c r="AV17" s="79">
        <v>18.440359876263937</v>
      </c>
      <c r="AW17" s="79">
        <v>27.999947864178896</v>
      </c>
      <c r="AX17" s="79">
        <v>38.163962175873735</v>
      </c>
      <c r="AY17" s="79">
        <v>44.713716960879864</v>
      </c>
      <c r="AZ17">
        <v>-6.5350081085929612E-12</v>
      </c>
      <c r="BA17">
        <v>-1.2637490069479342E-8</v>
      </c>
      <c r="BB17">
        <v>5.1441704161315924E-5</v>
      </c>
      <c r="BC17">
        <v>-2.6083690062739719E-3</v>
      </c>
      <c r="BD17">
        <v>9.0521108890108426</v>
      </c>
      <c r="BE17" s="90">
        <f t="shared" si="5"/>
        <v>21.603641050576115</v>
      </c>
      <c r="BF17" s="79">
        <v>14.001014959861818</v>
      </c>
      <c r="BG17" s="79">
        <v>19.565933978528385</v>
      </c>
      <c r="BH17" s="79">
        <v>29.125521966443344</v>
      </c>
      <c r="BI17" s="79">
        <v>39.289536278138179</v>
      </c>
      <c r="BJ17" s="79">
        <v>45.839291063144309</v>
      </c>
      <c r="BK17">
        <v>-6.535008108592739E-12</v>
      </c>
      <c r="BL17">
        <v>-1.2637490069479901E-8</v>
      </c>
      <c r="BM17">
        <v>5.1441704161316371E-5</v>
      </c>
      <c r="BN17">
        <v>-2.6083690062740903E-3</v>
      </c>
      <c r="BO17">
        <v>10.177684991275296</v>
      </c>
    </row>
    <row r="18" spans="1:67" x14ac:dyDescent="0.3">
      <c r="A18" s="70">
        <v>1250</v>
      </c>
      <c r="B18" s="90">
        <f t="shared" si="0"/>
        <v>13.492470453815345</v>
      </c>
      <c r="C18" s="79">
        <v>8.3386899487454436</v>
      </c>
      <c r="D18" s="79">
        <v>12.02723964098908</v>
      </c>
      <c r="E18" s="79">
        <v>19.723728415075584</v>
      </c>
      <c r="F18" s="79">
        <v>30.072682509351417</v>
      </c>
      <c r="G18" s="79">
        <v>37.165252367270178</v>
      </c>
      <c r="H18">
        <v>-4.6652379705073069E-11</v>
      </c>
      <c r="I18">
        <v>1.0530098236352261E-7</v>
      </c>
      <c r="J18">
        <v>-5.8814672195084625E-5</v>
      </c>
      <c r="K18">
        <v>2.8471574546942369E-2</v>
      </c>
      <c r="L18" s="85">
        <v>2.3740761716664061</v>
      </c>
      <c r="M18" s="90">
        <f t="shared" si="1"/>
        <v>15.688039982183064</v>
      </c>
      <c r="N18" s="79">
        <v>10.534259477113158</v>
      </c>
      <c r="O18" s="79">
        <v>14.222809169356797</v>
      </c>
      <c r="P18" s="79">
        <v>21.919297943443301</v>
      </c>
      <c r="Q18" s="79">
        <v>32.26825203771913</v>
      </c>
      <c r="R18" s="79">
        <v>39.360821895637891</v>
      </c>
      <c r="S18">
        <v>-4.6652379705072972E-11</v>
      </c>
      <c r="T18">
        <v>1.0530098236352244E-7</v>
      </c>
      <c r="U18">
        <v>-5.8814672195084584E-5</v>
      </c>
      <c r="V18">
        <v>2.8471574546942418E-2</v>
      </c>
      <c r="W18" s="85">
        <v>4.5696457000341084</v>
      </c>
      <c r="X18" s="90">
        <f t="shared" si="2"/>
        <v>17.947693140294938</v>
      </c>
      <c r="Y18" s="79">
        <v>12.793912635225043</v>
      </c>
      <c r="Z18" s="79">
        <v>16.482462327468681</v>
      </c>
      <c r="AA18" s="79">
        <v>24.178951101555185</v>
      </c>
      <c r="AB18" s="79">
        <v>34.527905195831018</v>
      </c>
      <c r="AC18" s="79">
        <v>41.620475053749779</v>
      </c>
      <c r="AD18">
        <v>-4.6652379705073069E-11</v>
      </c>
      <c r="AE18">
        <v>1.0530098236352262E-7</v>
      </c>
      <c r="AF18">
        <v>-5.8814672195084679E-5</v>
      </c>
      <c r="AG18">
        <v>2.8471574546942401E-2</v>
      </c>
      <c r="AH18">
        <v>6.8292988581460001</v>
      </c>
      <c r="AI18" s="90">
        <f t="shared" si="3"/>
        <v>18.867347444204889</v>
      </c>
      <c r="AJ18" s="79">
        <v>13.713566939134983</v>
      </c>
      <c r="AK18" s="79">
        <v>17.402116631378622</v>
      </c>
      <c r="AL18" s="79">
        <v>25.098605405465126</v>
      </c>
      <c r="AM18" s="79">
        <v>35.447559499740962</v>
      </c>
      <c r="AN18" s="79">
        <v>42.540129357659723</v>
      </c>
      <c r="AO18">
        <v>-4.6652379705073275E-11</v>
      </c>
      <c r="AP18">
        <v>1.0530098236352321E-7</v>
      </c>
      <c r="AQ18">
        <v>-5.8814672195085242E-5</v>
      </c>
      <c r="AR18">
        <v>2.847157454694263E-2</v>
      </c>
      <c r="AS18">
        <v>7.7489531620559191</v>
      </c>
      <c r="AT18" s="90">
        <f t="shared" si="4"/>
        <v>19.973501533783981</v>
      </c>
      <c r="AU18" s="79">
        <v>14.819721028714076</v>
      </c>
      <c r="AV18" s="79">
        <v>18.508270720957714</v>
      </c>
      <c r="AW18" s="79">
        <v>26.204759495044218</v>
      </c>
      <c r="AX18" s="79">
        <v>36.553713589320054</v>
      </c>
      <c r="AY18" s="79">
        <v>43.646283447238815</v>
      </c>
      <c r="AZ18">
        <v>-4.6652379705073275E-11</v>
      </c>
      <c r="BA18">
        <v>1.0530098236352321E-7</v>
      </c>
      <c r="BB18">
        <v>-5.8814672195085242E-5</v>
      </c>
      <c r="BC18">
        <v>2.847157454694263E-2</v>
      </c>
      <c r="BD18">
        <v>8.8551072516350118</v>
      </c>
      <c r="BE18" s="90">
        <f t="shared" si="5"/>
        <v>21.099075636048426</v>
      </c>
      <c r="BF18" s="79">
        <v>15.945295130978524</v>
      </c>
      <c r="BG18" s="79">
        <v>19.633844823222162</v>
      </c>
      <c r="BH18" s="79">
        <v>27.330333597308666</v>
      </c>
      <c r="BI18" s="79">
        <v>37.679287691584499</v>
      </c>
      <c r="BJ18" s="79">
        <v>44.77185754950326</v>
      </c>
      <c r="BK18">
        <v>-4.6652379705073069E-11</v>
      </c>
      <c r="BL18">
        <v>1.0530098236352262E-7</v>
      </c>
      <c r="BM18">
        <v>-5.8814672195084679E-5</v>
      </c>
      <c r="BN18">
        <v>2.8471574546942401E-2</v>
      </c>
      <c r="BO18">
        <v>9.9806813538994881</v>
      </c>
    </row>
    <row r="19" spans="1:67" x14ac:dyDescent="0.3">
      <c r="A19" s="70">
        <v>1600</v>
      </c>
      <c r="B19" s="90">
        <f t="shared" si="0"/>
        <v>13.495818568960892</v>
      </c>
      <c r="C19" s="79">
        <v>8.0948819130225083</v>
      </c>
      <c r="D19" s="79">
        <v>12.032844370193516</v>
      </c>
      <c r="E19" s="79">
        <v>19.809582949331059</v>
      </c>
      <c r="F19" s="79">
        <v>30.801043990804608</v>
      </c>
      <c r="G19" s="79">
        <v>38.392154587961166</v>
      </c>
      <c r="H19">
        <v>-6.6745098037450786E-11</v>
      </c>
      <c r="I19">
        <v>1.6668114183155979E-7</v>
      </c>
      <c r="J19">
        <v>-1.2328333618983931E-4</v>
      </c>
      <c r="K19">
        <v>5.6978701404182971E-2</v>
      </c>
      <c r="L19" s="85">
        <v>-2.1732393508496273</v>
      </c>
      <c r="M19" s="90">
        <f t="shared" si="1"/>
        <v>15.691388097328609</v>
      </c>
      <c r="N19" s="79">
        <v>10.290451441390223</v>
      </c>
      <c r="O19" s="79">
        <v>14.228413898561232</v>
      </c>
      <c r="P19" s="79">
        <v>22.005152477698775</v>
      </c>
      <c r="Q19" s="79">
        <v>32.996613519172321</v>
      </c>
      <c r="R19" s="79">
        <v>40.587724116328879</v>
      </c>
      <c r="S19">
        <v>-6.6745098037450825E-11</v>
      </c>
      <c r="T19">
        <v>1.6668114183155995E-7</v>
      </c>
      <c r="U19">
        <v>-1.2328333618983952E-4</v>
      </c>
      <c r="V19">
        <v>5.6978701404183069E-2</v>
      </c>
      <c r="W19" s="85">
        <v>2.2330177518078642E-2</v>
      </c>
      <c r="X19" s="90">
        <f t="shared" si="2"/>
        <v>17.951041255440494</v>
      </c>
      <c r="Y19" s="79">
        <v>12.550104599502108</v>
      </c>
      <c r="Z19" s="79">
        <v>16.488067056673117</v>
      </c>
      <c r="AA19" s="79">
        <v>24.26480563581066</v>
      </c>
      <c r="AB19" s="79">
        <v>35.256266677284209</v>
      </c>
      <c r="AC19" s="79">
        <v>42.847377274440767</v>
      </c>
      <c r="AD19">
        <v>-6.6745098037450786E-11</v>
      </c>
      <c r="AE19">
        <v>1.6668114183155979E-7</v>
      </c>
      <c r="AF19">
        <v>-1.2328333618983931E-4</v>
      </c>
      <c r="AG19">
        <v>5.6978701404182971E-2</v>
      </c>
      <c r="AH19">
        <v>2.2819833356299739</v>
      </c>
      <c r="AI19" s="90">
        <f t="shared" si="3"/>
        <v>18.870695559350441</v>
      </c>
      <c r="AJ19" s="79">
        <v>13.469758903412048</v>
      </c>
      <c r="AK19" s="79">
        <v>17.407721360583057</v>
      </c>
      <c r="AL19" s="79">
        <v>25.1844599397206</v>
      </c>
      <c r="AM19" s="79">
        <v>36.175920981194153</v>
      </c>
      <c r="AN19" s="79">
        <v>43.767031578350711</v>
      </c>
      <c r="AO19">
        <v>-6.6745098037451045E-11</v>
      </c>
      <c r="AP19">
        <v>1.6668114183156064E-7</v>
      </c>
      <c r="AQ19">
        <v>-1.2328333618984023E-4</v>
      </c>
      <c r="AR19">
        <v>5.6978701404183367E-2</v>
      </c>
      <c r="AS19">
        <v>3.2016376395398609</v>
      </c>
      <c r="AT19" s="90">
        <f t="shared" si="4"/>
        <v>19.976849648929534</v>
      </c>
      <c r="AU19" s="79">
        <v>14.575912992991141</v>
      </c>
      <c r="AV19" s="79">
        <v>18.51387545016215</v>
      </c>
      <c r="AW19" s="79">
        <v>26.290614029299693</v>
      </c>
      <c r="AX19" s="79">
        <v>37.282075070773246</v>
      </c>
      <c r="AY19" s="79">
        <v>44.873185667929803</v>
      </c>
      <c r="AZ19">
        <v>-6.6745098037451045E-11</v>
      </c>
      <c r="BA19">
        <v>1.6668114183156064E-7</v>
      </c>
      <c r="BB19">
        <v>-1.2328333618984023E-4</v>
      </c>
      <c r="BC19">
        <v>5.6978701404183367E-2</v>
      </c>
      <c r="BD19">
        <v>4.3077917291189536</v>
      </c>
      <c r="BE19" s="90">
        <f t="shared" si="5"/>
        <v>21.102423751193975</v>
      </c>
      <c r="BF19" s="79">
        <v>15.701487095255588</v>
      </c>
      <c r="BG19" s="79">
        <v>19.639449552426598</v>
      </c>
      <c r="BH19" s="79">
        <v>27.416188131564141</v>
      </c>
      <c r="BI19" s="79">
        <v>38.40764917303769</v>
      </c>
      <c r="BJ19" s="79">
        <v>45.998759770194248</v>
      </c>
      <c r="BK19">
        <v>-6.6745098037450786E-11</v>
      </c>
      <c r="BL19">
        <v>1.6668114183155979E-7</v>
      </c>
      <c r="BM19">
        <v>-1.2328333618983931E-4</v>
      </c>
      <c r="BN19">
        <v>5.6978701404182971E-2</v>
      </c>
      <c r="BO19">
        <v>5.4333658313834547</v>
      </c>
    </row>
    <row r="20" spans="1:67" x14ac:dyDescent="0.3">
      <c r="A20" s="70">
        <v>2000</v>
      </c>
      <c r="B20" s="90">
        <f t="shared" si="0"/>
        <v>12.302602374016928</v>
      </c>
      <c r="C20" s="79">
        <v>7.4714791227035358</v>
      </c>
      <c r="D20" s="79">
        <v>11.02514505610683</v>
      </c>
      <c r="E20" s="79">
        <v>18.081144263307181</v>
      </c>
      <c r="F20" s="79">
        <v>28.990241594693551</v>
      </c>
      <c r="G20" s="79">
        <v>36.984757112561518</v>
      </c>
      <c r="H20">
        <v>-8.0713202962716455E-11</v>
      </c>
      <c r="I20">
        <v>2.1324922963484359E-7</v>
      </c>
      <c r="J20">
        <v>-1.7444960904490142E-4</v>
      </c>
      <c r="K20">
        <v>7.6891109709800828E-2</v>
      </c>
      <c r="L20" s="85">
        <v>-5.3100792821808724</v>
      </c>
      <c r="M20" s="90">
        <f t="shared" si="1"/>
        <v>14.498171902384637</v>
      </c>
      <c r="N20" s="79">
        <v>9.6670486510712514</v>
      </c>
      <c r="O20" s="79">
        <v>13.220714584474544</v>
      </c>
      <c r="P20" s="79">
        <v>20.276713791674897</v>
      </c>
      <c r="Q20" s="79">
        <v>31.185811123061267</v>
      </c>
      <c r="R20" s="79">
        <v>39.180326640929231</v>
      </c>
      <c r="S20">
        <v>-8.0713202962716274E-11</v>
      </c>
      <c r="T20">
        <v>2.1324922963484306E-7</v>
      </c>
      <c r="U20">
        <v>-1.7444960904490074E-4</v>
      </c>
      <c r="V20">
        <v>7.6891109709800468E-2</v>
      </c>
      <c r="W20" s="85">
        <v>-3.1145097538131026</v>
      </c>
      <c r="X20" s="90">
        <f t="shared" si="2"/>
        <v>16.757825060496518</v>
      </c>
      <c r="Y20" s="79">
        <v>11.926701809183136</v>
      </c>
      <c r="Z20" s="79">
        <v>15.480367742586429</v>
      </c>
      <c r="AA20" s="79">
        <v>22.536366949786782</v>
      </c>
      <c r="AB20" s="79">
        <v>33.445464281173152</v>
      </c>
      <c r="AC20" s="79">
        <v>41.439979799041119</v>
      </c>
      <c r="AD20">
        <v>-8.0713202962716365E-11</v>
      </c>
      <c r="AE20">
        <v>2.1324922963484332E-7</v>
      </c>
      <c r="AF20">
        <v>-1.7444960904490112E-4</v>
      </c>
      <c r="AG20">
        <v>7.689110970980069E-2</v>
      </c>
      <c r="AH20">
        <v>-0.85485659570126415</v>
      </c>
      <c r="AI20" s="90">
        <f t="shared" si="3"/>
        <v>17.677479364406448</v>
      </c>
      <c r="AJ20" s="79">
        <v>12.846356113093076</v>
      </c>
      <c r="AK20" s="79">
        <v>16.400022046496368</v>
      </c>
      <c r="AL20" s="79">
        <v>23.456021253696722</v>
      </c>
      <c r="AM20" s="79">
        <v>34.365118585083096</v>
      </c>
      <c r="AN20" s="79">
        <v>42.359634102951063</v>
      </c>
      <c r="AO20">
        <v>-8.0713202962716365E-11</v>
      </c>
      <c r="AP20">
        <v>2.1324922963484337E-7</v>
      </c>
      <c r="AQ20">
        <v>-1.7444960904490112E-4</v>
      </c>
      <c r="AR20">
        <v>7.6891109709800634E-2</v>
      </c>
      <c r="AS20">
        <v>6.4797708208686799E-2</v>
      </c>
      <c r="AT20" s="90">
        <f t="shared" si="4"/>
        <v>18.783633453985541</v>
      </c>
      <c r="AU20" s="79">
        <v>13.952510202672169</v>
      </c>
      <c r="AV20" s="79">
        <v>17.50617613607546</v>
      </c>
      <c r="AW20" s="79">
        <v>24.562175343275815</v>
      </c>
      <c r="AX20" s="79">
        <v>35.471272674662188</v>
      </c>
      <c r="AY20" s="79">
        <v>43.465788192530155</v>
      </c>
      <c r="AZ20">
        <v>-8.0713202962716365E-11</v>
      </c>
      <c r="BA20">
        <v>2.1324922963484337E-7</v>
      </c>
      <c r="BB20">
        <v>-1.7444960904490112E-4</v>
      </c>
      <c r="BC20">
        <v>7.6891109709800634E-2</v>
      </c>
      <c r="BD20">
        <v>1.1709517977877795</v>
      </c>
      <c r="BE20" s="90">
        <f t="shared" si="5"/>
        <v>19.90920755625001</v>
      </c>
      <c r="BF20" s="79">
        <v>15.078084304936617</v>
      </c>
      <c r="BG20" s="79">
        <v>18.631750238339912</v>
      </c>
      <c r="BH20" s="79">
        <v>25.687749445540263</v>
      </c>
      <c r="BI20" s="79">
        <v>36.596846776926633</v>
      </c>
      <c r="BJ20" s="79">
        <v>44.5913622947946</v>
      </c>
      <c r="BK20">
        <v>-8.0713202962716455E-11</v>
      </c>
      <c r="BL20">
        <v>2.1324922963484359E-7</v>
      </c>
      <c r="BM20">
        <v>-1.7444960904490142E-4</v>
      </c>
      <c r="BN20">
        <v>7.6891109709800828E-2</v>
      </c>
      <c r="BO20">
        <v>2.2965259000522096</v>
      </c>
    </row>
    <row r="21" spans="1:67" x14ac:dyDescent="0.3">
      <c r="A21" s="70">
        <v>2500</v>
      </c>
      <c r="B21" s="90">
        <f t="shared" si="0"/>
        <v>8.761129435463161</v>
      </c>
      <c r="C21" s="79">
        <v>7.8551460975378573</v>
      </c>
      <c r="D21" s="79">
        <v>8.1598148945123832</v>
      </c>
      <c r="E21" s="79">
        <v>13.467863694844226</v>
      </c>
      <c r="F21" s="79">
        <v>25.212747034954134</v>
      </c>
      <c r="G21" s="79">
        <v>33.941721371112529</v>
      </c>
      <c r="H21">
        <v>-1.0842546798358547E-10</v>
      </c>
      <c r="I21">
        <v>2.7746706915844621E-7</v>
      </c>
      <c r="J21">
        <v>-2.0270045884863467E-4</v>
      </c>
      <c r="K21">
        <v>5.7331513334917567E-2</v>
      </c>
      <c r="L21" s="85">
        <v>2.3037102514069687</v>
      </c>
      <c r="M21" s="90">
        <f t="shared" si="1"/>
        <v>10.956698963830828</v>
      </c>
      <c r="N21" s="79">
        <v>10.050715625905573</v>
      </c>
      <c r="O21" s="79">
        <v>10.355384422880098</v>
      </c>
      <c r="P21" s="79">
        <v>15.663433223211943</v>
      </c>
      <c r="Q21" s="79">
        <v>27.408316563321851</v>
      </c>
      <c r="R21" s="79">
        <v>36.137290899480242</v>
      </c>
      <c r="S21">
        <v>-1.0842546798358553E-10</v>
      </c>
      <c r="T21">
        <v>2.7746706915844637E-7</v>
      </c>
      <c r="U21">
        <v>-2.0270045884863484E-4</v>
      </c>
      <c r="V21">
        <v>5.733151333491765E-2</v>
      </c>
      <c r="W21" s="85">
        <v>4.4992797797746249</v>
      </c>
      <c r="X21" s="90">
        <f t="shared" si="2"/>
        <v>13.216352121942762</v>
      </c>
      <c r="Y21" s="79">
        <v>12.310368784017458</v>
      </c>
      <c r="Z21" s="79">
        <v>12.615037580991983</v>
      </c>
      <c r="AA21" s="79">
        <v>17.923086381323827</v>
      </c>
      <c r="AB21" s="79">
        <v>29.667969721433735</v>
      </c>
      <c r="AC21" s="79">
        <v>38.39694405759213</v>
      </c>
      <c r="AD21">
        <v>-1.0842546798358547E-10</v>
      </c>
      <c r="AE21">
        <v>2.7746706915844621E-7</v>
      </c>
      <c r="AF21">
        <v>-2.0270045884863467E-4</v>
      </c>
      <c r="AG21">
        <v>5.7331513334917567E-2</v>
      </c>
      <c r="AH21">
        <v>6.7589329378865699</v>
      </c>
      <c r="AI21" s="90">
        <f t="shared" si="3"/>
        <v>14.136006425852678</v>
      </c>
      <c r="AJ21" s="79">
        <v>13.230023087927398</v>
      </c>
      <c r="AK21" s="79">
        <v>13.534691884901923</v>
      </c>
      <c r="AL21" s="79">
        <v>18.842740685233768</v>
      </c>
      <c r="AM21" s="79">
        <v>30.587624025343676</v>
      </c>
      <c r="AN21" s="79">
        <v>39.316598361502074</v>
      </c>
      <c r="AO21">
        <v>-1.0842546798358562E-10</v>
      </c>
      <c r="AP21">
        <v>2.7746706915844669E-7</v>
      </c>
      <c r="AQ21">
        <v>-2.0270045884863527E-4</v>
      </c>
      <c r="AR21">
        <v>5.7331513334917886E-2</v>
      </c>
      <c r="AS21">
        <v>7.6785872417964214</v>
      </c>
      <c r="AT21" s="90">
        <f t="shared" si="4"/>
        <v>15.24216051543177</v>
      </c>
      <c r="AU21" s="79">
        <v>14.336177177506491</v>
      </c>
      <c r="AV21" s="79">
        <v>14.640845974481016</v>
      </c>
      <c r="AW21" s="79">
        <v>19.94889477481286</v>
      </c>
      <c r="AX21" s="79">
        <v>31.693778114922768</v>
      </c>
      <c r="AY21" s="79">
        <v>40.422752451081166</v>
      </c>
      <c r="AZ21">
        <v>-1.0842546798358562E-10</v>
      </c>
      <c r="BA21">
        <v>2.7746706915844669E-7</v>
      </c>
      <c r="BB21">
        <v>-2.0270045884863527E-4</v>
      </c>
      <c r="BC21">
        <v>5.7331513334917886E-2</v>
      </c>
      <c r="BD21">
        <v>8.7847413313755141</v>
      </c>
      <c r="BE21" s="90">
        <f t="shared" si="5"/>
        <v>16.367734617696225</v>
      </c>
      <c r="BF21" s="79">
        <v>15.461751279770938</v>
      </c>
      <c r="BG21" s="79">
        <v>15.766420076745463</v>
      </c>
      <c r="BH21" s="79">
        <v>21.074468877077308</v>
      </c>
      <c r="BI21" s="79">
        <v>32.819352217187216</v>
      </c>
      <c r="BJ21" s="79">
        <v>41.548326553345611</v>
      </c>
      <c r="BK21">
        <v>-1.0842546798358565E-10</v>
      </c>
      <c r="BL21">
        <v>2.7746706915844685E-7</v>
      </c>
      <c r="BM21">
        <v>-2.0270045884863546E-4</v>
      </c>
      <c r="BN21">
        <v>5.7331513334917962E-2</v>
      </c>
      <c r="BO21">
        <v>9.9103154336399655</v>
      </c>
    </row>
    <row r="22" spans="1:67" x14ac:dyDescent="0.3">
      <c r="A22" s="70">
        <v>3150</v>
      </c>
      <c r="B22" s="90">
        <f t="shared" si="0"/>
        <v>8.1809061763127602</v>
      </c>
      <c r="C22" s="79">
        <v>8.4551453461452901</v>
      </c>
      <c r="D22" s="79">
        <v>8.6745064351416694</v>
      </c>
      <c r="E22" s="79">
        <v>9.2321629587811493</v>
      </c>
      <c r="F22" s="79">
        <v>20.427066268337967</v>
      </c>
      <c r="G22" s="79">
        <v>29.925217322713713</v>
      </c>
      <c r="H22">
        <v>-2.8341904665061671E-10</v>
      </c>
      <c r="I22">
        <v>8.4244464097327507E-7</v>
      </c>
      <c r="J22">
        <v>-8.3534355966912875E-4</v>
      </c>
      <c r="K22">
        <v>0.33550648326550808</v>
      </c>
      <c r="L22" s="85">
        <v>-37.883345824160898</v>
      </c>
      <c r="M22" s="90">
        <f t="shared" si="1"/>
        <v>10.376475704680416</v>
      </c>
      <c r="N22" s="79">
        <v>10.650714874513005</v>
      </c>
      <c r="O22" s="79">
        <v>10.870075963509384</v>
      </c>
      <c r="P22" s="79">
        <v>11.427732487148864</v>
      </c>
      <c r="Q22" s="79">
        <v>22.622635796705683</v>
      </c>
      <c r="R22" s="79">
        <v>32.120786851081427</v>
      </c>
      <c r="S22">
        <v>-2.8341904665061733E-10</v>
      </c>
      <c r="T22">
        <v>8.4244464097327698E-7</v>
      </c>
      <c r="U22">
        <v>-8.3534355966913092E-4</v>
      </c>
      <c r="V22">
        <v>0.33550648326550903</v>
      </c>
      <c r="W22" s="85">
        <v>-35.687776295793356</v>
      </c>
      <c r="X22" s="90">
        <f t="shared" si="2"/>
        <v>12.636128862792333</v>
      </c>
      <c r="Y22" s="79">
        <v>12.91036803262489</v>
      </c>
      <c r="Z22" s="79">
        <v>13.129729121621269</v>
      </c>
      <c r="AA22" s="79">
        <v>13.687385645260749</v>
      </c>
      <c r="AB22" s="79">
        <v>24.882288954817568</v>
      </c>
      <c r="AC22" s="79">
        <v>34.380440009193315</v>
      </c>
      <c r="AD22">
        <v>-2.8341904665061712E-10</v>
      </c>
      <c r="AE22">
        <v>8.4244464097327592E-7</v>
      </c>
      <c r="AF22">
        <v>-8.3534355966912973E-4</v>
      </c>
      <c r="AG22">
        <v>0.33550648326550853</v>
      </c>
      <c r="AH22">
        <v>-33.428123137681354</v>
      </c>
      <c r="AI22" s="90">
        <f t="shared" si="3"/>
        <v>13.555783166702355</v>
      </c>
      <c r="AJ22" s="79">
        <v>13.83002233653483</v>
      </c>
      <c r="AK22" s="79">
        <v>14.049383425531209</v>
      </c>
      <c r="AL22" s="79">
        <v>14.607039949170689</v>
      </c>
      <c r="AM22" s="79">
        <v>25.801943258727508</v>
      </c>
      <c r="AN22" s="79">
        <v>35.300094313103259</v>
      </c>
      <c r="AO22">
        <v>-2.8341904665061697E-10</v>
      </c>
      <c r="AP22">
        <v>8.424446409732756E-7</v>
      </c>
      <c r="AQ22">
        <v>-8.3534355966912951E-4</v>
      </c>
      <c r="AR22">
        <v>0.33550648326550847</v>
      </c>
      <c r="AS22">
        <v>-32.508468833771332</v>
      </c>
      <c r="AT22" s="90">
        <f t="shared" si="4"/>
        <v>14.661937256281391</v>
      </c>
      <c r="AU22" s="79">
        <v>14.936176426113922</v>
      </c>
      <c r="AV22" s="79">
        <v>15.155537515110302</v>
      </c>
      <c r="AW22" s="79">
        <v>15.713194038749782</v>
      </c>
      <c r="AX22" s="79">
        <v>26.908097348306601</v>
      </c>
      <c r="AY22" s="79">
        <v>36.406248402682351</v>
      </c>
      <c r="AZ22">
        <v>-2.8341904665061697E-10</v>
      </c>
      <c r="BA22">
        <v>8.424446409732756E-7</v>
      </c>
      <c r="BB22">
        <v>-8.3534355966912951E-4</v>
      </c>
      <c r="BC22">
        <v>0.33550648326550847</v>
      </c>
      <c r="BD22">
        <v>-31.402314744192296</v>
      </c>
      <c r="BE22" s="90">
        <f t="shared" si="5"/>
        <v>15.787511358545913</v>
      </c>
      <c r="BF22" s="79">
        <v>16.061750528378369</v>
      </c>
      <c r="BG22" s="79">
        <v>16.281111617374748</v>
      </c>
      <c r="BH22" s="79">
        <v>16.838768141014228</v>
      </c>
      <c r="BI22" s="79">
        <v>28.033671450571049</v>
      </c>
      <c r="BJ22" s="79">
        <v>37.531822504946796</v>
      </c>
      <c r="BK22">
        <v>-2.8341904665061722E-10</v>
      </c>
      <c r="BL22">
        <v>8.4244464097327655E-7</v>
      </c>
      <c r="BM22">
        <v>-8.3534355966913049E-4</v>
      </c>
      <c r="BN22">
        <v>0.3355064832655088</v>
      </c>
      <c r="BO22">
        <v>-30.276740641927802</v>
      </c>
    </row>
    <row r="23" spans="1:67" x14ac:dyDescent="0.3">
      <c r="A23" s="70">
        <v>4000</v>
      </c>
      <c r="B23" s="90">
        <f t="shared" si="0"/>
        <v>8.8805787323047696</v>
      </c>
      <c r="C23" s="79">
        <v>9.0749615264092007</v>
      </c>
      <c r="D23" s="79">
        <v>9.2326217714608028</v>
      </c>
      <c r="E23" s="79">
        <v>9.1839940033423808</v>
      </c>
      <c r="F23" s="79">
        <v>16.40318241504292</v>
      </c>
      <c r="G23" s="79">
        <v>26.500935123350928</v>
      </c>
      <c r="H23">
        <v>-1.4043080078180544E-10</v>
      </c>
      <c r="I23">
        <v>4.4769816932208268E-7</v>
      </c>
      <c r="J23">
        <v>-4.6455186053516153E-4</v>
      </c>
      <c r="K23">
        <v>0.19239354101009565</v>
      </c>
      <c r="L23" s="85">
        <v>-18.044417968282886</v>
      </c>
      <c r="M23" s="90">
        <f t="shared" si="1"/>
        <v>11.076148260672483</v>
      </c>
      <c r="N23" s="79">
        <v>11.270531054776916</v>
      </c>
      <c r="O23" s="79">
        <v>11.428191299828518</v>
      </c>
      <c r="P23" s="79">
        <v>11.379563531710096</v>
      </c>
      <c r="Q23" s="79">
        <v>18.598751943410637</v>
      </c>
      <c r="R23" s="79">
        <v>28.696504651718644</v>
      </c>
      <c r="S23">
        <v>-1.4043080078180544E-10</v>
      </c>
      <c r="T23">
        <v>4.4769816932208268E-7</v>
      </c>
      <c r="U23">
        <v>-4.6455186053516153E-4</v>
      </c>
      <c r="V23">
        <v>0.19239354101009565</v>
      </c>
      <c r="W23" s="85">
        <v>-15.848848439915173</v>
      </c>
      <c r="X23" s="90">
        <f t="shared" si="2"/>
        <v>13.335801418784442</v>
      </c>
      <c r="Y23" s="79">
        <v>13.5301842128888</v>
      </c>
      <c r="Z23" s="79">
        <v>13.687844457940402</v>
      </c>
      <c r="AA23" s="79">
        <v>13.63921668982198</v>
      </c>
      <c r="AB23" s="79">
        <v>20.858405101522521</v>
      </c>
      <c r="AC23" s="79">
        <v>30.956157809830529</v>
      </c>
      <c r="AD23">
        <v>-1.4043080078180564E-10</v>
      </c>
      <c r="AE23">
        <v>4.4769816932208327E-7</v>
      </c>
      <c r="AF23">
        <v>-4.6455186053516218E-4</v>
      </c>
      <c r="AG23">
        <v>0.19239354101009595</v>
      </c>
      <c r="AH23">
        <v>-13.589195281803256</v>
      </c>
      <c r="AI23" s="90">
        <f t="shared" si="3"/>
        <v>14.255455722694307</v>
      </c>
      <c r="AJ23" s="79">
        <v>14.44983851679874</v>
      </c>
      <c r="AK23" s="79">
        <v>14.607498761850342</v>
      </c>
      <c r="AL23" s="79">
        <v>14.558870993731921</v>
      </c>
      <c r="AM23" s="79">
        <v>21.778059405432462</v>
      </c>
      <c r="AN23" s="79">
        <v>31.875812113740469</v>
      </c>
      <c r="AO23">
        <v>-1.4043080078180544E-10</v>
      </c>
      <c r="AP23">
        <v>4.4769816932208268E-7</v>
      </c>
      <c r="AQ23">
        <v>-4.6455186053516153E-4</v>
      </c>
      <c r="AR23">
        <v>0.19239354101009565</v>
      </c>
      <c r="AS23">
        <v>-12.669540977893348</v>
      </c>
      <c r="AT23" s="90">
        <f t="shared" si="4"/>
        <v>15.361609812273414</v>
      </c>
      <c r="AU23" s="79">
        <v>15.555992606377833</v>
      </c>
      <c r="AV23" s="79">
        <v>15.713652851429435</v>
      </c>
      <c r="AW23" s="79">
        <v>15.665025083311013</v>
      </c>
      <c r="AX23" s="79">
        <v>22.884213495011554</v>
      </c>
      <c r="AY23" s="79">
        <v>32.981966203319558</v>
      </c>
      <c r="AZ23">
        <v>-1.4043080078180544E-10</v>
      </c>
      <c r="BA23">
        <v>4.4769816932208268E-7</v>
      </c>
      <c r="BB23">
        <v>-4.6455186053516153E-4</v>
      </c>
      <c r="BC23">
        <v>0.19239354101009562</v>
      </c>
      <c r="BD23">
        <v>-11.563386888314227</v>
      </c>
      <c r="BE23" s="90">
        <f t="shared" si="5"/>
        <v>16.487183914538008</v>
      </c>
      <c r="BF23" s="79">
        <v>16.681566708642279</v>
      </c>
      <c r="BG23" s="79">
        <v>16.839226953693881</v>
      </c>
      <c r="BH23" s="79">
        <v>16.790599185575459</v>
      </c>
      <c r="BI23" s="79">
        <v>24.009787597276002</v>
      </c>
      <c r="BJ23" s="79">
        <v>34.10754030558401</v>
      </c>
      <c r="BK23">
        <v>-1.4043080078180564E-10</v>
      </c>
      <c r="BL23">
        <v>4.4769816932208316E-7</v>
      </c>
      <c r="BM23">
        <v>-4.6455186053516207E-4</v>
      </c>
      <c r="BN23">
        <v>0.1923935410100959</v>
      </c>
      <c r="BO23">
        <v>-10.437812786049705</v>
      </c>
    </row>
    <row r="24" spans="1:67" x14ac:dyDescent="0.3">
      <c r="A24" s="70">
        <v>5000</v>
      </c>
      <c r="B24" s="90">
        <f t="shared" si="0"/>
        <v>9.1420934587418117</v>
      </c>
      <c r="C24" s="79">
        <v>9.1251313982845126</v>
      </c>
      <c r="D24" s="79">
        <v>9.081969711920582</v>
      </c>
      <c r="E24" s="79">
        <v>9.2731954891427826</v>
      </c>
      <c r="F24" s="79">
        <v>11.455665771826151</v>
      </c>
      <c r="G24" s="79">
        <v>22.231555753894327</v>
      </c>
      <c r="H24">
        <v>8.6896826674031684E-11</v>
      </c>
      <c r="I24">
        <v>-1.9936835729793787E-7</v>
      </c>
      <c r="J24">
        <v>1.6835063069380388E-4</v>
      </c>
      <c r="K24">
        <v>-6.1115258288805138E-2</v>
      </c>
      <c r="L24" s="85">
        <v>17.047727432312769</v>
      </c>
      <c r="M24" s="90">
        <f t="shared" si="1"/>
        <v>11.337662987109532</v>
      </c>
      <c r="N24" s="79">
        <v>11.320700926652227</v>
      </c>
      <c r="O24" s="79">
        <v>11.277539240288297</v>
      </c>
      <c r="P24" s="79">
        <v>11.468765017510497</v>
      </c>
      <c r="Q24" s="79">
        <v>13.651235300193866</v>
      </c>
      <c r="R24" s="79">
        <v>24.427125282262043</v>
      </c>
      <c r="S24">
        <v>8.6896826674031607E-11</v>
      </c>
      <c r="T24">
        <v>-1.9936835729793763E-7</v>
      </c>
      <c r="U24">
        <v>1.6835063069380358E-4</v>
      </c>
      <c r="V24">
        <v>-6.1115258288804979E-2</v>
      </c>
      <c r="W24" s="85">
        <v>19.24329696068046</v>
      </c>
      <c r="X24" s="90">
        <f t="shared" si="2"/>
        <v>13.59731614522142</v>
      </c>
      <c r="Y24" s="79">
        <v>13.580354084764112</v>
      </c>
      <c r="Z24" s="79">
        <v>13.537192398400181</v>
      </c>
      <c r="AA24" s="79">
        <v>13.728418175622382</v>
      </c>
      <c r="AB24" s="79">
        <v>15.910888458305751</v>
      </c>
      <c r="AC24" s="79">
        <v>26.686778440373928</v>
      </c>
      <c r="AD24">
        <v>8.6896826674031607E-11</v>
      </c>
      <c r="AE24">
        <v>-1.9936835729793763E-7</v>
      </c>
      <c r="AF24">
        <v>1.6835063069380358E-4</v>
      </c>
      <c r="AG24">
        <v>-6.1115258288804979E-2</v>
      </c>
      <c r="AH24">
        <v>21.502950118792349</v>
      </c>
      <c r="AI24" s="90">
        <f t="shared" si="3"/>
        <v>14.51697044913135</v>
      </c>
      <c r="AJ24" s="79">
        <v>14.500008388674052</v>
      </c>
      <c r="AK24" s="79">
        <v>14.456846702310122</v>
      </c>
      <c r="AL24" s="79">
        <v>14.648072479532322</v>
      </c>
      <c r="AM24" s="79">
        <v>16.830542762215693</v>
      </c>
      <c r="AN24" s="79">
        <v>27.606432744283868</v>
      </c>
      <c r="AO24">
        <v>8.6896826674031581E-11</v>
      </c>
      <c r="AP24">
        <v>-1.9936835729793755E-7</v>
      </c>
      <c r="AQ24">
        <v>1.6835063069380358E-4</v>
      </c>
      <c r="AR24">
        <v>-6.1115258288805013E-2</v>
      </c>
      <c r="AS24">
        <v>22.422604422702278</v>
      </c>
      <c r="AT24" s="90">
        <f t="shared" si="4"/>
        <v>15.623124538710428</v>
      </c>
      <c r="AU24" s="79">
        <v>15.606162478253145</v>
      </c>
      <c r="AV24" s="79">
        <v>15.563000791889214</v>
      </c>
      <c r="AW24" s="79">
        <v>15.754226569111415</v>
      </c>
      <c r="AX24" s="79">
        <v>17.936696851794785</v>
      </c>
      <c r="AY24" s="79">
        <v>28.712586833862961</v>
      </c>
      <c r="AZ24">
        <v>8.6896826674031581E-11</v>
      </c>
      <c r="BA24">
        <v>-1.9936835729793755E-7</v>
      </c>
      <c r="BB24">
        <v>1.6835063069380358E-4</v>
      </c>
      <c r="BC24">
        <v>-6.1115258288805013E-2</v>
      </c>
      <c r="BD24">
        <v>23.528758512281357</v>
      </c>
      <c r="BE24" s="90">
        <f t="shared" si="5"/>
        <v>16.748698640974887</v>
      </c>
      <c r="BF24" s="79">
        <v>16.731736580517591</v>
      </c>
      <c r="BG24" s="79">
        <v>16.68857489415366</v>
      </c>
      <c r="BH24" s="79">
        <v>16.879800671375861</v>
      </c>
      <c r="BI24" s="79">
        <v>19.06227095405923</v>
      </c>
      <c r="BJ24" s="79">
        <v>29.838160936127409</v>
      </c>
      <c r="BK24">
        <v>8.6896826674031762E-11</v>
      </c>
      <c r="BL24">
        <v>-1.9936835729793814E-7</v>
      </c>
      <c r="BM24">
        <v>1.6835063069380415E-4</v>
      </c>
      <c r="BN24">
        <v>-6.1115258288805256E-2</v>
      </c>
      <c r="BO24">
        <v>24.654332614545865</v>
      </c>
    </row>
    <row r="25" spans="1:67" x14ac:dyDescent="0.3">
      <c r="A25" s="70">
        <v>6300</v>
      </c>
      <c r="B25" s="90">
        <f t="shared" si="0"/>
        <v>9.1655801518281379</v>
      </c>
      <c r="C25" s="79">
        <v>9.0018344718569416</v>
      </c>
      <c r="D25" s="79">
        <v>8.9910111762864098</v>
      </c>
      <c r="E25" s="79">
        <v>9.2691751057701062</v>
      </c>
      <c r="F25" s="79">
        <v>9.3833440881358037</v>
      </c>
      <c r="G25" s="79">
        <v>16.705300633622414</v>
      </c>
      <c r="H25">
        <v>1.2006425369435584E-10</v>
      </c>
      <c r="I25">
        <v>-3.1023431695338755E-7</v>
      </c>
      <c r="J25">
        <v>2.8581964479026332E-4</v>
      </c>
      <c r="K25">
        <v>-0.10988160887855755</v>
      </c>
      <c r="L25" s="85">
        <v>23.768627354480856</v>
      </c>
      <c r="M25" s="90">
        <f t="shared" si="1"/>
        <v>11.361149680195851</v>
      </c>
      <c r="N25" s="79">
        <v>11.197404000224656</v>
      </c>
      <c r="O25" s="79">
        <v>11.186580704654125</v>
      </c>
      <c r="P25" s="79">
        <v>11.464744634137821</v>
      </c>
      <c r="Q25" s="79">
        <v>11.578913616503518</v>
      </c>
      <c r="R25" s="79">
        <v>18.900870161990131</v>
      </c>
      <c r="S25">
        <v>1.2006425369435584E-10</v>
      </c>
      <c r="T25">
        <v>-3.1023431695338755E-7</v>
      </c>
      <c r="U25">
        <v>2.8581964479026332E-4</v>
      </c>
      <c r="V25">
        <v>-0.10988160887855755</v>
      </c>
      <c r="W25" s="85">
        <v>25.964196882848569</v>
      </c>
      <c r="X25" s="90">
        <f t="shared" si="2"/>
        <v>13.620802838307775</v>
      </c>
      <c r="Y25" s="79">
        <v>13.457057158336541</v>
      </c>
      <c r="Z25" s="79">
        <v>13.446233862766009</v>
      </c>
      <c r="AA25" s="79">
        <v>13.724397792249706</v>
      </c>
      <c r="AB25" s="79">
        <v>13.838566774615403</v>
      </c>
      <c r="AC25" s="79">
        <v>21.160523320102016</v>
      </c>
      <c r="AD25">
        <v>1.20064253694356E-10</v>
      </c>
      <c r="AE25">
        <v>-3.1023431695338797E-7</v>
      </c>
      <c r="AF25">
        <v>2.858196447902637E-4</v>
      </c>
      <c r="AG25">
        <v>-0.1098816088785577</v>
      </c>
      <c r="AH25">
        <v>28.2238500409605</v>
      </c>
      <c r="AI25" s="90">
        <f t="shared" si="3"/>
        <v>14.540457142217711</v>
      </c>
      <c r="AJ25" s="79">
        <v>14.376711462246481</v>
      </c>
      <c r="AK25" s="79">
        <v>14.365888166675949</v>
      </c>
      <c r="AL25" s="79">
        <v>14.644052096159646</v>
      </c>
      <c r="AM25" s="79">
        <v>14.758221078525343</v>
      </c>
      <c r="AN25" s="79">
        <v>22.080177624011956</v>
      </c>
      <c r="AO25">
        <v>1.20064253694356E-10</v>
      </c>
      <c r="AP25">
        <v>-3.1023431695338797E-7</v>
      </c>
      <c r="AQ25">
        <v>2.858196447902637E-4</v>
      </c>
      <c r="AR25">
        <v>-0.1098816088785577</v>
      </c>
      <c r="AS25">
        <v>29.143504344870436</v>
      </c>
      <c r="AT25" s="90">
        <f t="shared" si="4"/>
        <v>15.646611231796804</v>
      </c>
      <c r="AU25" s="79">
        <v>15.482865551825574</v>
      </c>
      <c r="AV25" s="79">
        <v>15.472042256255042</v>
      </c>
      <c r="AW25" s="79">
        <v>15.750206185738739</v>
      </c>
      <c r="AX25" s="79">
        <v>15.864375168104436</v>
      </c>
      <c r="AY25" s="79">
        <v>23.186331713591048</v>
      </c>
      <c r="AZ25">
        <v>1.20064253694356E-10</v>
      </c>
      <c r="BA25">
        <v>-3.1023431695338797E-7</v>
      </c>
      <c r="BB25">
        <v>2.858196447902637E-4</v>
      </c>
      <c r="BC25">
        <v>-0.1098816088785577</v>
      </c>
      <c r="BD25">
        <v>30.249658434449529</v>
      </c>
      <c r="BE25" s="90">
        <f t="shared" si="5"/>
        <v>16.772185334061213</v>
      </c>
      <c r="BF25" s="79">
        <v>16.60843965409002</v>
      </c>
      <c r="BG25" s="79">
        <v>16.597616358519488</v>
      </c>
      <c r="BH25" s="79">
        <v>16.875780288003185</v>
      </c>
      <c r="BI25" s="79">
        <v>16.989949270368882</v>
      </c>
      <c r="BJ25" s="79">
        <v>24.311905815855496</v>
      </c>
      <c r="BK25">
        <v>1.2006425369435605E-10</v>
      </c>
      <c r="BL25">
        <v>-3.1023431695338808E-7</v>
      </c>
      <c r="BM25">
        <v>2.8581964479026386E-4</v>
      </c>
      <c r="BN25">
        <v>-0.10988160887855779</v>
      </c>
      <c r="BO25">
        <v>31.375232536713952</v>
      </c>
    </row>
    <row r="26" spans="1:67" x14ac:dyDescent="0.3">
      <c r="A26" s="70">
        <v>8000</v>
      </c>
      <c r="B26" s="90">
        <f t="shared" si="0"/>
        <v>8.3387557646275479</v>
      </c>
      <c r="C26" s="79">
        <v>8.2657858958150001</v>
      </c>
      <c r="D26" s="79">
        <v>8.2944009179593117</v>
      </c>
      <c r="E26" s="79">
        <v>8.3158807011121247</v>
      </c>
      <c r="F26" s="79">
        <v>8.4471705845611389</v>
      </c>
      <c r="G26" s="79">
        <v>11.377891295119266</v>
      </c>
      <c r="H26">
        <v>3.9910732651349231E-11</v>
      </c>
      <c r="I26">
        <v>-9.9400249980444772E-8</v>
      </c>
      <c r="J26">
        <v>8.8123992788256874E-5</v>
      </c>
      <c r="K26">
        <v>-3.2632750248606839E-2</v>
      </c>
      <c r="L26" s="85">
        <v>12.514895693732576</v>
      </c>
      <c r="M26" s="90">
        <f t="shared" si="1"/>
        <v>10.534325292995261</v>
      </c>
      <c r="N26" s="79">
        <v>10.461355424182715</v>
      </c>
      <c r="O26" s="79">
        <v>10.489970446327026</v>
      </c>
      <c r="P26" s="79">
        <v>10.51145022947984</v>
      </c>
      <c r="Q26" s="79">
        <v>10.642740112928854</v>
      </c>
      <c r="R26" s="79">
        <v>13.573460823486981</v>
      </c>
      <c r="S26">
        <v>3.9910732651349231E-11</v>
      </c>
      <c r="T26">
        <v>-9.9400249980444772E-8</v>
      </c>
      <c r="U26">
        <v>8.8123992788256874E-5</v>
      </c>
      <c r="V26">
        <v>-3.2632750248606839E-2</v>
      </c>
      <c r="W26" s="85">
        <v>14.710465222100289</v>
      </c>
      <c r="X26" s="90">
        <f t="shared" si="2"/>
        <v>12.793978451107142</v>
      </c>
      <c r="Y26" s="79">
        <v>12.7210085822946</v>
      </c>
      <c r="Z26" s="79">
        <v>12.749623604438911</v>
      </c>
      <c r="AA26" s="79">
        <v>12.771103387591724</v>
      </c>
      <c r="AB26" s="79">
        <v>12.902393271040738</v>
      </c>
      <c r="AC26" s="79">
        <v>15.833113981598865</v>
      </c>
      <c r="AD26">
        <v>3.9910732651349231E-11</v>
      </c>
      <c r="AE26">
        <v>-9.9400249980444772E-8</v>
      </c>
      <c r="AF26">
        <v>8.8123992788256874E-5</v>
      </c>
      <c r="AG26">
        <v>-3.2632750248606839E-2</v>
      </c>
      <c r="AH26">
        <v>16.97011838021217</v>
      </c>
      <c r="AI26" s="90">
        <f t="shared" si="3"/>
        <v>13.713632755017088</v>
      </c>
      <c r="AJ26" s="79">
        <v>13.64066288620454</v>
      </c>
      <c r="AK26" s="79">
        <v>13.669277908348851</v>
      </c>
      <c r="AL26" s="79">
        <v>13.690757691501664</v>
      </c>
      <c r="AM26" s="79">
        <v>13.822047574950679</v>
      </c>
      <c r="AN26" s="79">
        <v>16.752768285508807</v>
      </c>
      <c r="AO26">
        <v>3.9910732651349218E-11</v>
      </c>
      <c r="AP26">
        <v>-9.9400249980444693E-8</v>
      </c>
      <c r="AQ26">
        <v>8.8123992788256752E-5</v>
      </c>
      <c r="AR26">
        <v>-3.2632750248606769E-2</v>
      </c>
      <c r="AS26">
        <v>17.889772684122107</v>
      </c>
      <c r="AT26" s="90">
        <f t="shared" si="4"/>
        <v>14.81978684459618</v>
      </c>
      <c r="AU26" s="79">
        <v>14.746816975783632</v>
      </c>
      <c r="AV26" s="79">
        <v>14.775431997927944</v>
      </c>
      <c r="AW26" s="79">
        <v>14.796911781080757</v>
      </c>
      <c r="AX26" s="79">
        <v>14.928201664529771</v>
      </c>
      <c r="AY26" s="79">
        <v>17.8589223750879</v>
      </c>
      <c r="AZ26">
        <v>3.9910732651349218E-11</v>
      </c>
      <c r="BA26">
        <v>-9.9400249980444693E-8</v>
      </c>
      <c r="BB26">
        <v>8.8123992788256752E-5</v>
      </c>
      <c r="BC26">
        <v>-3.2632750248606769E-2</v>
      </c>
      <c r="BD26">
        <v>18.9959267737012</v>
      </c>
      <c r="BE26" s="90">
        <f t="shared" si="5"/>
        <v>15.945360946860632</v>
      </c>
      <c r="BF26" s="79">
        <v>15.87239107804808</v>
      </c>
      <c r="BG26" s="79">
        <v>15.901006100192392</v>
      </c>
      <c r="BH26" s="79">
        <v>15.922485883345205</v>
      </c>
      <c r="BI26" s="79">
        <v>16.053775766794217</v>
      </c>
      <c r="BJ26" s="79">
        <v>18.984496477352344</v>
      </c>
      <c r="BK26">
        <v>3.9910732651349315E-11</v>
      </c>
      <c r="BL26">
        <v>-9.9400249980444971E-8</v>
      </c>
      <c r="BM26">
        <v>8.812399278825705E-5</v>
      </c>
      <c r="BN26">
        <v>-3.2632750248606908E-2</v>
      </c>
      <c r="BO26">
        <v>20.121500875965673</v>
      </c>
    </row>
    <row r="27" spans="1:67" x14ac:dyDescent="0.3">
      <c r="A27" s="70">
        <v>10000</v>
      </c>
      <c r="B27" s="90">
        <f t="shared" si="0"/>
        <v>6.9771336913722646</v>
      </c>
      <c r="C27" s="79">
        <v>6.9261227725015315</v>
      </c>
      <c r="D27" s="79">
        <v>6.9728584542932337</v>
      </c>
      <c r="E27" s="79">
        <v>6.9771807289313328</v>
      </c>
      <c r="F27" s="79">
        <v>7.1549923509749673</v>
      </c>
      <c r="G27" s="79">
        <v>7.9605740622702141</v>
      </c>
      <c r="H27">
        <v>4.3582341267213298E-12</v>
      </c>
      <c r="I27">
        <v>-8.0560539083644174E-9</v>
      </c>
      <c r="J27">
        <v>4.7423046752533404E-6</v>
      </c>
      <c r="K27">
        <v>-7.6744824619876374E-4</v>
      </c>
      <c r="L27" s="85">
        <v>6.9062033699632854</v>
      </c>
      <c r="M27" s="90">
        <f t="shared" si="1"/>
        <v>9.1727032197399812</v>
      </c>
      <c r="N27" s="79">
        <v>9.1216923008692472</v>
      </c>
      <c r="O27" s="79">
        <v>9.1684279826609494</v>
      </c>
      <c r="P27" s="79">
        <v>9.1727502572990485</v>
      </c>
      <c r="Q27" s="79">
        <v>9.350561879342683</v>
      </c>
      <c r="R27" s="79">
        <v>10.15614359063793</v>
      </c>
      <c r="S27">
        <v>4.3582341267213298E-12</v>
      </c>
      <c r="T27">
        <v>-8.0560539083644174E-9</v>
      </c>
      <c r="U27">
        <v>4.7423046752533404E-6</v>
      </c>
      <c r="V27">
        <v>-7.6744824619876374E-4</v>
      </c>
      <c r="W27" s="85">
        <v>9.1017728983310029</v>
      </c>
      <c r="X27" s="90">
        <f t="shared" si="2"/>
        <v>11.432356377851862</v>
      </c>
      <c r="Y27" s="79">
        <v>11.381345458981132</v>
      </c>
      <c r="Z27" s="79">
        <v>11.428081140772834</v>
      </c>
      <c r="AA27" s="79">
        <v>11.432403415410933</v>
      </c>
      <c r="AB27" s="79">
        <v>11.610215037454568</v>
      </c>
      <c r="AC27" s="79">
        <v>12.415796748749814</v>
      </c>
      <c r="AD27">
        <v>4.3582341267213298E-12</v>
      </c>
      <c r="AE27">
        <v>-8.0560539083644174E-9</v>
      </c>
      <c r="AF27">
        <v>4.7423046752533404E-6</v>
      </c>
      <c r="AG27">
        <v>-7.6744824619876374E-4</v>
      </c>
      <c r="AH27">
        <v>11.361426056442884</v>
      </c>
      <c r="AI27" s="90">
        <f t="shared" si="3"/>
        <v>12.352010681761806</v>
      </c>
      <c r="AJ27" s="79">
        <v>12.300999762891072</v>
      </c>
      <c r="AK27" s="79">
        <v>12.347735444682774</v>
      </c>
      <c r="AL27" s="79">
        <v>12.352057719320873</v>
      </c>
      <c r="AM27" s="79">
        <v>12.529869341364508</v>
      </c>
      <c r="AN27" s="79">
        <v>13.335451052659755</v>
      </c>
      <c r="AO27">
        <v>4.3582341267213298E-12</v>
      </c>
      <c r="AP27">
        <v>-8.0560539083644174E-9</v>
      </c>
      <c r="AQ27">
        <v>4.7423046752533404E-6</v>
      </c>
      <c r="AR27">
        <v>-7.6744824619876374E-4</v>
      </c>
      <c r="AS27">
        <v>12.281080360352828</v>
      </c>
      <c r="AT27" s="90">
        <f t="shared" si="4"/>
        <v>13.458164771340899</v>
      </c>
      <c r="AU27" s="79">
        <v>13.407153852470165</v>
      </c>
      <c r="AV27" s="79">
        <v>13.453889534261867</v>
      </c>
      <c r="AW27" s="79">
        <v>13.458211808899966</v>
      </c>
      <c r="AX27" s="79">
        <v>13.636023430943601</v>
      </c>
      <c r="AY27" s="79">
        <v>14.441605142238847</v>
      </c>
      <c r="AZ27">
        <v>4.3582341267213298E-12</v>
      </c>
      <c r="BA27">
        <v>-8.0560539083644174E-9</v>
      </c>
      <c r="BB27">
        <v>4.7423046752533404E-6</v>
      </c>
      <c r="BC27">
        <v>-7.6744824619876374E-4</v>
      </c>
      <c r="BD27">
        <v>13.38723444993192</v>
      </c>
      <c r="BE27" s="90">
        <f t="shared" si="5"/>
        <v>14.583738873605347</v>
      </c>
      <c r="BF27" s="79">
        <v>14.532727954734613</v>
      </c>
      <c r="BG27" s="79">
        <v>14.579463636526315</v>
      </c>
      <c r="BH27" s="79">
        <v>14.583785911164414</v>
      </c>
      <c r="BI27" s="79">
        <v>14.761597533208048</v>
      </c>
      <c r="BJ27" s="79">
        <v>15.567179244503295</v>
      </c>
      <c r="BK27">
        <v>4.3582341267213298E-12</v>
      </c>
      <c r="BL27">
        <v>-8.0560539083644174E-9</v>
      </c>
      <c r="BM27">
        <v>4.7423046752533404E-6</v>
      </c>
      <c r="BN27">
        <v>-7.6744824619876374E-4</v>
      </c>
      <c r="BO27">
        <v>14.512808552196368</v>
      </c>
    </row>
    <row r="28" spans="1:67" x14ac:dyDescent="0.3">
      <c r="A28" s="96" t="s">
        <v>186</v>
      </c>
      <c r="B28" s="90">
        <f t="array" ref="B28">10*LOG10(SUM(IF(ISNUMBER(B4:B27),10^(0.1*B4:B27))))</f>
        <v>24.402183860606854</v>
      </c>
      <c r="C28" s="71">
        <f t="array" ref="C28">10*LOG10(SUM(IF(ISNUMBER(C4:C27),10^(0.1*C4:C27))))</f>
        <v>19.167291555799096</v>
      </c>
      <c r="D28" s="71">
        <f t="array" ref="D28">10*LOG10(SUM(IF(ISNUMBER(D4:D27),10^(0.1*D4:D27))))</f>
        <v>22.597712982812446</v>
      </c>
      <c r="E28" s="71">
        <f t="array" ref="E28">10*LOG10(SUM(IF(ISNUMBER(E4:E27),10^(0.1*E4:E27))))</f>
        <v>31.825640765700399</v>
      </c>
      <c r="F28" s="71">
        <f t="array" ref="F28">10*LOG10(SUM(IF(ISNUMBER(F4:F27),10^(0.1*F4:F27))))</f>
        <v>40.950672290633172</v>
      </c>
      <c r="G28" s="71">
        <f t="array" ref="G28">10*LOG10(SUM(IF(ISNUMBER(G4:G27),10^(0.1*G4:G27))))</f>
        <v>47.360182971799667</v>
      </c>
      <c r="H28" s="71"/>
      <c r="I28" s="71"/>
      <c r="J28" s="71"/>
      <c r="K28" s="71"/>
      <c r="L28" s="71"/>
      <c r="M28" s="90">
        <f t="array" ref="M28">10*LOG10(SUM(IF(ISNUMBER(M4:M27),10^(0.1*M4:M27))))</f>
        <v>26.597753388974567</v>
      </c>
      <c r="N28" s="71">
        <f t="array" ref="N28">10*LOG10(SUM(IF(ISNUMBER(N4:N27),10^(0.1*N4:N27))))</f>
        <v>21.362861084166816</v>
      </c>
      <c r="O28" s="71">
        <f t="array" ref="O28">10*LOG10(SUM(IF(ISNUMBER(O4:O27),10^(0.1*O4:O27))))</f>
        <v>24.793282511180166</v>
      </c>
      <c r="P28" s="71">
        <f t="array" ref="P28">10*LOG10(SUM(IF(ISNUMBER(P4:P27),10^(0.1*P4:P27))))</f>
        <v>34.021210294068112</v>
      </c>
      <c r="Q28" s="71">
        <f t="array" ref="Q28">10*LOG10(SUM(IF(ISNUMBER(Q4:Q27),10^(0.1*Q4:Q27))))</f>
        <v>43.146241819000892</v>
      </c>
      <c r="R28" s="71">
        <f t="array" ref="R28">10*LOG10(SUM(IF(ISNUMBER(R4:R27),10^(0.1*R4:R27))))</f>
        <v>49.555752500167372</v>
      </c>
      <c r="S28" s="71"/>
      <c r="T28" s="71"/>
      <c r="U28" s="71"/>
      <c r="V28" s="71"/>
      <c r="W28" s="71"/>
      <c r="X28" s="90">
        <f t="array" ref="X28">10*LOG10(SUM(IF(ISNUMBER(X4:X27),10^(0.1*X4:X27))))</f>
        <v>28.857406547086455</v>
      </c>
      <c r="Y28" s="71">
        <f t="array" ref="Y28">10*LOG10(SUM(IF(ISNUMBER(Y4:Y27),10^(0.1*Y4:Y27))))</f>
        <v>23.622514242278697</v>
      </c>
      <c r="Z28" s="71">
        <f t="array" ref="Z28">10*LOG10(SUM(IF(ISNUMBER(Z4:Z27),10^(0.1*Z4:Z27))))</f>
        <v>27.052935669292051</v>
      </c>
      <c r="AA28" s="71">
        <f t="array" ref="AA28">10*LOG10(SUM(IF(ISNUMBER(AA4:AA27),10^(0.1*AA4:AA27))))</f>
        <v>36.28086345218</v>
      </c>
      <c r="AB28" s="71">
        <f t="array" ref="AB28">10*LOG10(SUM(IF(ISNUMBER(AB4:AB27),10^(0.1*AB4:AB27))))</f>
        <v>45.405894977112773</v>
      </c>
      <c r="AC28" s="71">
        <f t="array" ref="AC28">10*LOG10(SUM(IF(ISNUMBER(AC4:AC27),10^(0.1*AC4:AC27))))</f>
        <v>51.815405658279268</v>
      </c>
      <c r="AD28" s="71"/>
      <c r="AE28" s="71"/>
      <c r="AF28" s="71"/>
      <c r="AG28" s="71"/>
      <c r="AH28" s="71"/>
      <c r="AI28" s="90">
        <f t="array" ref="AI28">10*LOG10(SUM(IF(ISNUMBER(AI4:AI27),10^(0.1*AI4:AI27))))</f>
        <v>29.777060850996392</v>
      </c>
      <c r="AJ28" s="95">
        <f t="array" ref="AJ28">10*LOG10(SUM(IF(ISNUMBER(AJ4:AJ27),10^(0.1*AJ4:AJ27))))</f>
        <v>24.542168546188638</v>
      </c>
      <c r="AK28" s="71">
        <f t="array" ref="AK28">10*LOG10(SUM(IF(ISNUMBER(AK4:AK27),10^(0.1*AK4:AK27))))</f>
        <v>27.972589973201991</v>
      </c>
      <c r="AL28" s="71">
        <f t="array" ref="AL28">10*LOG10(SUM(IF(ISNUMBER(AL4:AL27),10^(0.1*AL4:AL27))))</f>
        <v>37.200517756089937</v>
      </c>
      <c r="AM28" s="71">
        <f t="array" ref="AM28">10*LOG10(SUM(IF(ISNUMBER(AM4:AM27),10^(0.1*AM4:AM27))))</f>
        <v>46.325549281022717</v>
      </c>
      <c r="AN28" s="71">
        <f t="array" ref="AN28">10*LOG10(SUM(IF(ISNUMBER(AN4:AN27),10^(0.1*AN4:AN27))))</f>
        <v>52.735059962189212</v>
      </c>
      <c r="AO28" s="71"/>
      <c r="AP28" s="71"/>
      <c r="AQ28" s="71"/>
      <c r="AR28" s="71"/>
      <c r="AS28" s="71"/>
      <c r="AT28" s="90">
        <f t="array" ref="AT28">10*LOG10(SUM(IF(ISNUMBER(AT4:AT27),10^(0.1*AT4:AT27))))</f>
        <v>30.883214940575485</v>
      </c>
      <c r="AU28" s="71">
        <f t="array" ref="AU28">10*LOG10(SUM(IF(ISNUMBER(AU4:AU27),10^(0.1*AU4:AU27))))</f>
        <v>25.648322635767734</v>
      </c>
      <c r="AV28" s="71">
        <f t="array" ref="AV28">10*LOG10(SUM(IF(ISNUMBER(AV4:AV27),10^(0.1*AV4:AV27))))</f>
        <v>29.078744062781084</v>
      </c>
      <c r="AW28" s="71">
        <f t="array" ref="AW28">10*LOG10(SUM(IF(ISNUMBER(AW4:AW27),10^(0.1*AW4:AW27))))</f>
        <v>38.30667184566903</v>
      </c>
      <c r="AX28" s="71">
        <f t="array" ref="AX28">10*LOG10(SUM(IF(ISNUMBER(AX4:AX27),10^(0.1*AX4:AX27))))</f>
        <v>47.431703370601809</v>
      </c>
      <c r="AY28" s="71">
        <f t="array" ref="AY28">10*LOG10(SUM(IF(ISNUMBER(AY4:AY27),10^(0.1*AY4:AY27))))</f>
        <v>53.841214051768304</v>
      </c>
      <c r="AZ28" s="71"/>
      <c r="BA28" s="71"/>
      <c r="BB28" s="71"/>
      <c r="BC28" s="71"/>
      <c r="BD28" s="71"/>
      <c r="BE28" s="90">
        <f t="array" ref="BE28">10*LOG10(SUM(IF(ISNUMBER(BE4:BE27),10^(0.1*BE4:BE27))))</f>
        <v>32.008789042839943</v>
      </c>
      <c r="BF28" s="71">
        <f t="array" ref="BF28">10*LOG10(SUM(IF(ISNUMBER(BF4:BF27),10^(0.1*BF4:BF27))))</f>
        <v>26.773896738032178</v>
      </c>
      <c r="BG28" s="71">
        <f t="array" ref="BG28">10*LOG10(SUM(IF(ISNUMBER(BG4:BG27),10^(0.1*BG4:BG27))))</f>
        <v>30.204318165045532</v>
      </c>
      <c r="BH28" s="71">
        <f t="array" ref="BH28">10*LOG10(SUM(IF(ISNUMBER(BH4:BH27),10^(0.1*BH4:BH27))))</f>
        <v>39.432245947933481</v>
      </c>
      <c r="BI28" s="71">
        <f t="array" ref="BI28">10*LOG10(SUM(IF(ISNUMBER(BI4:BI27),10^(0.1*BI4:BI27))))</f>
        <v>48.557277472866254</v>
      </c>
      <c r="BJ28" s="71">
        <f t="array" ref="BJ28">10*LOG10(SUM(IF(ISNUMBER(BJ4:BJ27),10^(0.1*BJ4:BJ27))))</f>
        <v>54.966788154032749</v>
      </c>
    </row>
  </sheetData>
  <mergeCells count="18">
    <mergeCell ref="AU2:AY2"/>
    <mergeCell ref="AZ2:BD2"/>
    <mergeCell ref="BK2:BO2"/>
    <mergeCell ref="BF2:BJ2"/>
    <mergeCell ref="BE1:BO1"/>
    <mergeCell ref="AT1:BD1"/>
    <mergeCell ref="X1:AH1"/>
    <mergeCell ref="Y2:AC2"/>
    <mergeCell ref="AD2:AH2"/>
    <mergeCell ref="AJ2:AN2"/>
    <mergeCell ref="AO2:AS2"/>
    <mergeCell ref="AI1:AS1"/>
    <mergeCell ref="B1:L1"/>
    <mergeCell ref="C2:G2"/>
    <mergeCell ref="H2:L2"/>
    <mergeCell ref="M1:W1"/>
    <mergeCell ref="N2:R2"/>
    <mergeCell ref="S2:W2"/>
  </mergeCells>
  <conditionalFormatting sqref="C4:C27">
    <cfRule type="colorScale" priority="33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D4:D27">
    <cfRule type="colorScale" priority="32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E4:E27">
    <cfRule type="colorScale" priority="31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F4:F27">
    <cfRule type="colorScale" priority="30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G4:G27">
    <cfRule type="colorScale" priority="29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N4:N27">
    <cfRule type="colorScale" priority="28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O4:O27">
    <cfRule type="colorScale" priority="27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P4:P27">
    <cfRule type="colorScale" priority="26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Q4:Q27">
    <cfRule type="colorScale" priority="2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R4:R27">
    <cfRule type="colorScale" priority="24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Y4:Y27">
    <cfRule type="colorScale" priority="1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Z4:Z27">
    <cfRule type="colorScale" priority="22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AA4:AA27">
    <cfRule type="colorScale" priority="21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AB4:AB27">
    <cfRule type="colorScale" priority="20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AC4:AC27">
    <cfRule type="colorScale" priority="19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AJ4:AJ27">
    <cfRule type="colorScale" priority="17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AK4:AK27">
    <cfRule type="colorScale" priority="16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AL4:AL27">
    <cfRule type="colorScale" priority="15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AM4:AM27">
    <cfRule type="colorScale" priority="14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AN4:AN27">
    <cfRule type="colorScale" priority="13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AU4:AU27">
    <cfRule type="colorScale" priority="12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AV4:AV27">
    <cfRule type="colorScale" priority="11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AW4:AW27">
    <cfRule type="colorScale" priority="10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AX4:AX27">
    <cfRule type="colorScale" priority="9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AY4:AY27">
    <cfRule type="colorScale" priority="8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BF4:BF27">
    <cfRule type="colorScale" priority="7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BG4:BG27">
    <cfRule type="colorScale" priority="6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BH4:BH27">
    <cfRule type="colorScale" priority="5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BI4:BI27">
    <cfRule type="colorScale" priority="4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BJ4:BJ27">
    <cfRule type="colorScale" priority="3">
      <colorScale>
        <cfvo type="min"/>
        <cfvo type="num" val="10"/>
        <cfvo type="max"/>
        <color rgb="FFFFFFFF"/>
        <color rgb="FFF2F2F2"/>
        <color rgb="FFBFBFBF"/>
      </colorScale>
    </cfRule>
  </conditionalFormatting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A25BA-9164-4447-9C09-F3852238C8DD}">
  <dimension ref="B3:K31"/>
  <sheetViews>
    <sheetView workbookViewId="0">
      <selection activeCell="H14" sqref="H14"/>
    </sheetView>
  </sheetViews>
  <sheetFormatPr baseColWidth="10" defaultColWidth="11.44140625" defaultRowHeight="14.4" x14ac:dyDescent="0.3"/>
  <cols>
    <col min="7" max="7" width="12.5546875" customWidth="1"/>
    <col min="8" max="8" width="12.109375" customWidth="1"/>
    <col min="9" max="10" width="12.44140625" customWidth="1"/>
  </cols>
  <sheetData>
    <row r="3" spans="2:11" x14ac:dyDescent="0.3">
      <c r="B3" s="53">
        <v>315</v>
      </c>
      <c r="C3" s="27">
        <v>495</v>
      </c>
      <c r="D3" s="27">
        <v>735</v>
      </c>
      <c r="E3" s="27">
        <v>985</v>
      </c>
      <c r="F3" s="78">
        <v>1205</v>
      </c>
    </row>
    <row r="4" spans="2:11" x14ac:dyDescent="0.3">
      <c r="B4">
        <f>B3^2</f>
        <v>99225</v>
      </c>
      <c r="C4">
        <f t="shared" ref="C4:F4" si="0">C3^2</f>
        <v>245025</v>
      </c>
      <c r="D4">
        <f t="shared" si="0"/>
        <v>540225</v>
      </c>
      <c r="E4">
        <f t="shared" si="0"/>
        <v>970225</v>
      </c>
      <c r="F4">
        <f t="shared" si="0"/>
        <v>1452025</v>
      </c>
    </row>
    <row r="5" spans="2:11" x14ac:dyDescent="0.3">
      <c r="B5">
        <f>B3^3</f>
        <v>31255875</v>
      </c>
      <c r="C5">
        <f t="shared" ref="C5:F5" si="1">C3^3</f>
        <v>121287375</v>
      </c>
      <c r="D5">
        <f t="shared" si="1"/>
        <v>397065375</v>
      </c>
      <c r="E5">
        <f t="shared" si="1"/>
        <v>955671625</v>
      </c>
      <c r="F5">
        <f t="shared" si="1"/>
        <v>1749690125</v>
      </c>
    </row>
    <row r="6" spans="2:11" x14ac:dyDescent="0.3">
      <c r="B6">
        <f>B3^4</f>
        <v>9845600625</v>
      </c>
      <c r="C6">
        <f t="shared" ref="C6:F6" si="2">C3^4</f>
        <v>60037250625</v>
      </c>
      <c r="D6">
        <f t="shared" si="2"/>
        <v>291843050625</v>
      </c>
      <c r="E6">
        <f t="shared" si="2"/>
        <v>941336550625</v>
      </c>
      <c r="F6">
        <f t="shared" si="2"/>
        <v>2108376600625</v>
      </c>
    </row>
    <row r="7" spans="2:11" x14ac:dyDescent="0.3">
      <c r="B7" s="81">
        <v>24.542168546188638</v>
      </c>
      <c r="C7" s="81">
        <v>27.972589973201991</v>
      </c>
      <c r="D7" s="81">
        <v>37.200517756089937</v>
      </c>
      <c r="E7" s="81">
        <v>46.325549281022717</v>
      </c>
      <c r="F7" s="81">
        <v>52.735059962189212</v>
      </c>
      <c r="G7">
        <f t="array" ref="G7:K7">LINEST(B7:F7,B$3:F$6)</f>
        <v>6.5595976015424167E-11</v>
      </c>
      <c r="H7">
        <v>-2.4080808529739331E-7</v>
      </c>
      <c r="I7">
        <v>3.1092083182349454E-4</v>
      </c>
      <c r="J7">
        <v>-0.13063273883874713</v>
      </c>
      <c r="K7">
        <v>41.721197373297485</v>
      </c>
    </row>
    <row r="8" spans="2:11" x14ac:dyDescent="0.3">
      <c r="B8" s="79">
        <v>-5.4000075544353034</v>
      </c>
      <c r="C8" s="79">
        <v>-6.5424580923746998</v>
      </c>
      <c r="D8" s="79">
        <v>-6.5855836180829055</v>
      </c>
      <c r="E8" s="79">
        <v>-2.8696643126029766</v>
      </c>
      <c r="F8" s="79">
        <v>-1.4463847063216644</v>
      </c>
      <c r="G8">
        <f t="array" ref="G8:K8">LINEST(B8:F8,B$3:F$6)</f>
        <v>-1.0370917807215056E-10</v>
      </c>
      <c r="H8">
        <v>2.86289894842982E-7</v>
      </c>
      <c r="I8">
        <v>-2.5799165249482613E-4</v>
      </c>
      <c r="J8">
        <v>8.8349769421307817E-2</v>
      </c>
      <c r="K8">
        <v>-15.558125221878129</v>
      </c>
    </row>
    <row r="9" spans="2:11" x14ac:dyDescent="0.3">
      <c r="B9" s="79">
        <v>-6.9482153505950333</v>
      </c>
      <c r="C9" s="79">
        <v>-6.6680092199684236</v>
      </c>
      <c r="D9" s="79">
        <v>-4.0453474160235441</v>
      </c>
      <c r="E9" s="79">
        <v>-0.36343474993206648</v>
      </c>
      <c r="F9" s="79">
        <v>6.1698133961496797</v>
      </c>
      <c r="G9">
        <f t="array" ref="G9:K9">LINEST(B9:F9,B$3:F$6)</f>
        <v>6.2541774124722798E-11</v>
      </c>
      <c r="H9">
        <v>-1.7995778704685095E-7</v>
      </c>
      <c r="I9">
        <v>1.9804411394080699E-4</v>
      </c>
      <c r="J9">
        <v>-8.6287950081564729E-2</v>
      </c>
      <c r="K9">
        <v>5.5905384861232861</v>
      </c>
    </row>
    <row r="10" spans="2:11" x14ac:dyDescent="0.3">
      <c r="B10" s="79">
        <v>-6.7815977691947591</v>
      </c>
      <c r="C10" s="79">
        <v>-7.2737297863504491</v>
      </c>
      <c r="D10" s="79">
        <v>4.104964713341035</v>
      </c>
      <c r="E10" s="79">
        <v>10.410659205115921</v>
      </c>
      <c r="F10" s="79">
        <v>15.839970901360916</v>
      </c>
      <c r="G10">
        <f t="array" ref="G10:K10">LINEST(B10:F10,B$3:F$6)</f>
        <v>3.4599213409786329E-10</v>
      </c>
      <c r="H10">
        <v>-1.121145332082025E-6</v>
      </c>
      <c r="I10">
        <v>1.2856064614876362E-3</v>
      </c>
      <c r="J10">
        <v>-0.57978374574501856</v>
      </c>
      <c r="K10">
        <v>79.921858984045741</v>
      </c>
    </row>
    <row r="11" spans="2:11" x14ac:dyDescent="0.3">
      <c r="B11" s="79">
        <v>-6.5241399106126732</v>
      </c>
      <c r="C11" s="79">
        <v>-0.19637465366399276</v>
      </c>
      <c r="D11" s="79">
        <v>8.777500472894376</v>
      </c>
      <c r="E11" s="79">
        <v>16.135770458576147</v>
      </c>
      <c r="F11" s="79">
        <v>20.183163110256331</v>
      </c>
      <c r="G11">
        <f t="array" ref="G11:K11">LINEST(B11:F11,B$3:F$6)</f>
        <v>2.4711042516251884E-11</v>
      </c>
      <c r="H11">
        <v>-9.4708328895068717E-8</v>
      </c>
      <c r="I11">
        <v>1.1122922066398726E-4</v>
      </c>
      <c r="J11">
        <v>-1.4461167778084079E-2</v>
      </c>
      <c r="K11">
        <v>-10.28869484713957</v>
      </c>
    </row>
    <row r="12" spans="2:11" x14ac:dyDescent="0.3">
      <c r="B12" s="79">
        <v>-5.5504698656565221</v>
      </c>
      <c r="C12" s="79">
        <v>3.7551205436285944</v>
      </c>
      <c r="D12" s="79">
        <v>14.183871905802521</v>
      </c>
      <c r="E12" s="79">
        <v>20.071948881405731</v>
      </c>
      <c r="F12" s="79">
        <v>25.565002767317949</v>
      </c>
      <c r="G12">
        <f t="array" ref="G12:K12">LINEST(B12:F12,B$3:F$6)</f>
        <v>1.0423113477370819E-10</v>
      </c>
      <c r="H12">
        <v>-2.9502408253081055E-7</v>
      </c>
      <c r="I12">
        <v>2.656861435175724E-4</v>
      </c>
      <c r="J12">
        <v>-4.5008451471494952E-2</v>
      </c>
      <c r="K12">
        <v>-9.5404975227665432</v>
      </c>
    </row>
    <row r="13" spans="2:11" x14ac:dyDescent="0.3">
      <c r="B13" s="79">
        <v>-0.68464501730526983</v>
      </c>
      <c r="C13" s="79">
        <v>7.0775474639460345</v>
      </c>
      <c r="D13" s="79">
        <v>18.604990584091823</v>
      </c>
      <c r="E13" s="79">
        <v>25.473854801111841</v>
      </c>
      <c r="F13" s="79">
        <v>29.813104613076987</v>
      </c>
      <c r="G13">
        <f t="array" ref="G13:K13">LINEST(B13:F13,B$3:F$6)</f>
        <v>1.3023362275495165E-10</v>
      </c>
      <c r="H13">
        <v>-4.0954355153909541E-7</v>
      </c>
      <c r="I13">
        <v>4.3140018974958694E-4</v>
      </c>
      <c r="J13">
        <v>-0.13778208519663901</v>
      </c>
      <c r="K13">
        <v>11.429441808103164</v>
      </c>
    </row>
    <row r="14" spans="2:11" x14ac:dyDescent="0.3">
      <c r="B14" s="79">
        <v>2.2419852444144386</v>
      </c>
      <c r="C14" s="79">
        <v>12.16296040771728</v>
      </c>
      <c r="D14" s="79">
        <v>22.066338016296882</v>
      </c>
      <c r="E14" s="79">
        <v>29.925818627889569</v>
      </c>
      <c r="F14" s="79">
        <v>34.590920846666975</v>
      </c>
      <c r="G14">
        <f t="array" ref="G14:K14">LINEST(B14:F14,B$3:F$6)</f>
        <v>-2.4401507669910086E-11</v>
      </c>
      <c r="H14">
        <v>8.1032332668286662E-8</v>
      </c>
      <c r="I14">
        <v>-1.1826222426795725E-4</v>
      </c>
      <c r="J14">
        <v>0.11718276075214779</v>
      </c>
      <c r="K14">
        <v>-25.228504151196645</v>
      </c>
    </row>
    <row r="15" spans="2:11" x14ac:dyDescent="0.3">
      <c r="B15" s="79">
        <v>5.8065918911136993</v>
      </c>
      <c r="C15" s="79">
        <v>16.123177123908036</v>
      </c>
      <c r="D15" s="79">
        <v>25.851010597822821</v>
      </c>
      <c r="E15" s="79">
        <v>33.544423590246438</v>
      </c>
      <c r="F15" s="79">
        <v>39.109431318717263</v>
      </c>
      <c r="G15">
        <f t="array" ref="G15:K15">LINEST(B15:F15,B$3:F$6)</f>
        <v>-2.0534854164244449E-11</v>
      </c>
      <c r="H15">
        <v>8.1863900640916511E-8</v>
      </c>
      <c r="I15">
        <v>-1.3284632195716752E-4</v>
      </c>
      <c r="J15">
        <v>0.12969959675894155</v>
      </c>
      <c r="K15">
        <v>-24.223654664204084</v>
      </c>
    </row>
    <row r="16" spans="2:11" x14ac:dyDescent="0.3">
      <c r="B16" s="79">
        <v>5.2061036505150344</v>
      </c>
      <c r="C16" s="79">
        <v>19.514183380176362</v>
      </c>
      <c r="D16" s="79">
        <v>28.958261003962278</v>
      </c>
      <c r="E16" s="79">
        <v>36.723394905516294</v>
      </c>
      <c r="F16" s="79">
        <v>41.532374673913431</v>
      </c>
      <c r="G16">
        <f t="array" ref="G16:K16">LINEST(B16:F16,B$3:F$6)</f>
        <v>-1.3610781224384355E-10</v>
      </c>
      <c r="H16">
        <v>4.6174251613730814E-7</v>
      </c>
      <c r="I16">
        <v>-5.8632290117096632E-4</v>
      </c>
      <c r="J16">
        <v>0.36141146140656055</v>
      </c>
      <c r="K16">
        <v>-63.552720029140218</v>
      </c>
    </row>
    <row r="17" spans="2:11" x14ac:dyDescent="0.3">
      <c r="B17" s="79">
        <v>8.0840602107841324</v>
      </c>
      <c r="C17" s="79">
        <v>18.893429514911602</v>
      </c>
      <c r="D17" s="79">
        <v>31.445649324646141</v>
      </c>
      <c r="E17" s="79">
        <v>37.887310498271027</v>
      </c>
      <c r="F17" s="79">
        <v>43.04940337345689</v>
      </c>
      <c r="G17">
        <f t="array" ref="G17:K17">LINEST(B17:F17,B$3:F$6)</f>
        <v>1.3780673607893282E-10</v>
      </c>
      <c r="H17">
        <v>-4.0192938341405293E-7</v>
      </c>
      <c r="I17">
        <v>3.7710844355811474E-4</v>
      </c>
      <c r="J17">
        <v>-8.2797133048442093E-2</v>
      </c>
      <c r="K17">
        <v>7.9524362889382587</v>
      </c>
    </row>
    <row r="18" spans="2:11" x14ac:dyDescent="0.3">
      <c r="B18" s="79">
        <v>6.8205012509341305</v>
      </c>
      <c r="C18" s="79">
        <v>16.271158032960855</v>
      </c>
      <c r="D18" s="79">
        <v>30.452618891503519</v>
      </c>
      <c r="E18" s="79">
        <v>38.470068131013328</v>
      </c>
      <c r="F18" s="79">
        <v>43.452409798974678</v>
      </c>
      <c r="G18">
        <f t="array" ref="G18:K18">LINEST(B18:F18,B$3:F$6)</f>
        <v>1.743065447353355E-10</v>
      </c>
      <c r="H18">
        <v>-5.4670077693335265E-7</v>
      </c>
      <c r="I18">
        <v>5.7521117803713555E-4</v>
      </c>
      <c r="J18">
        <v>-0.1885754170187659</v>
      </c>
      <c r="K18">
        <v>24.517886991554562</v>
      </c>
    </row>
    <row r="19" spans="2:11" x14ac:dyDescent="0.3">
      <c r="B19" s="79">
        <v>10.333927907783265</v>
      </c>
      <c r="C19" s="79">
        <v>16.721380859304205</v>
      </c>
      <c r="D19" s="79">
        <v>29.596939728014448</v>
      </c>
      <c r="E19" s="79">
        <v>39.77319629626728</v>
      </c>
      <c r="F19" s="79">
        <v>44.632468601826496</v>
      </c>
      <c r="G19">
        <f t="array" ref="G19:K19">LINEST(B19:F19,B$3:F$6)</f>
        <v>9.5932710482473693E-11</v>
      </c>
      <c r="H19">
        <v>-3.4667716519438307E-7</v>
      </c>
      <c r="I19">
        <v>4.2193788958287193E-4</v>
      </c>
      <c r="J19">
        <v>-0.15963470655306319</v>
      </c>
      <c r="K19">
        <v>28.643256364523509</v>
      </c>
    </row>
    <row r="20" spans="2:11" x14ac:dyDescent="0.3">
      <c r="B20" s="79">
        <v>14.308872951411894</v>
      </c>
      <c r="C20" s="79">
        <v>19.520116114678714</v>
      </c>
      <c r="D20" s="79">
        <v>30.957411021477768</v>
      </c>
      <c r="E20" s="79">
        <v>40.703114310673378</v>
      </c>
      <c r="F20" s="79">
        <v>47.395277721703984</v>
      </c>
      <c r="G20">
        <f t="array" ref="G20:K20">LINEST(B20:F20,B$3:F$6)</f>
        <v>1.0353865051543675E-10</v>
      </c>
      <c r="H20">
        <v>-3.5483724386832119E-7</v>
      </c>
      <c r="I20">
        <v>4.233936335720222E-4</v>
      </c>
      <c r="J20">
        <v>-0.16538774999081343</v>
      </c>
      <c r="K20">
        <v>34.466129244800584</v>
      </c>
    </row>
    <row r="21" spans="2:11" x14ac:dyDescent="0.3">
      <c r="B21" s="79">
        <v>14.001014959861818</v>
      </c>
      <c r="C21" s="79">
        <v>19.565933978528385</v>
      </c>
      <c r="D21" s="79">
        <v>29.125521966443344</v>
      </c>
      <c r="E21" s="79">
        <v>39.289536278138179</v>
      </c>
      <c r="F21" s="79">
        <v>45.839291063144309</v>
      </c>
      <c r="G21">
        <f t="array" ref="G21:K21">LINEST(B21:F21,B$3:F$6)</f>
        <v>-6.535008108592739E-12</v>
      </c>
      <c r="H21">
        <v>-1.2637490069479901E-8</v>
      </c>
      <c r="I21">
        <v>5.1441704161316371E-5</v>
      </c>
      <c r="J21">
        <v>-2.6083690062740903E-3</v>
      </c>
      <c r="K21">
        <v>10.177684991275296</v>
      </c>
    </row>
    <row r="22" spans="2:11" x14ac:dyDescent="0.3">
      <c r="B22" s="79">
        <v>15.945295130978524</v>
      </c>
      <c r="C22" s="79">
        <v>19.633844823222162</v>
      </c>
      <c r="D22" s="79">
        <v>27.330333597308666</v>
      </c>
      <c r="E22" s="79">
        <v>37.679287691584499</v>
      </c>
      <c r="F22" s="79">
        <v>44.77185754950326</v>
      </c>
      <c r="G22">
        <f t="array" ref="G22:K22">LINEST(B22:F22,B$3:F$6)</f>
        <v>-4.6652379705073069E-11</v>
      </c>
      <c r="H22">
        <v>1.0530098236352262E-7</v>
      </c>
      <c r="I22">
        <v>-5.8814672195084679E-5</v>
      </c>
      <c r="J22">
        <v>2.8471574546942401E-2</v>
      </c>
      <c r="K22">
        <v>9.9806813538994881</v>
      </c>
    </row>
    <row r="23" spans="2:11" x14ac:dyDescent="0.3">
      <c r="B23" s="79">
        <v>15.701487095255588</v>
      </c>
      <c r="C23" s="79">
        <v>19.639449552426598</v>
      </c>
      <c r="D23" s="79">
        <v>27.416188131564141</v>
      </c>
      <c r="E23" s="79">
        <v>38.40764917303769</v>
      </c>
      <c r="F23" s="79">
        <v>45.998759770194248</v>
      </c>
      <c r="G23">
        <f t="array" ref="G23:K23">LINEST(B23:F23,B$3:F$6)</f>
        <v>-6.6745098037450786E-11</v>
      </c>
      <c r="H23">
        <v>1.6668114183155979E-7</v>
      </c>
      <c r="I23">
        <v>-1.2328333618983931E-4</v>
      </c>
      <c r="J23">
        <v>5.6978701404182971E-2</v>
      </c>
      <c r="K23">
        <v>5.4333658313834547</v>
      </c>
    </row>
    <row r="24" spans="2:11" x14ac:dyDescent="0.3">
      <c r="B24" s="79">
        <v>15.078084304936617</v>
      </c>
      <c r="C24" s="79">
        <v>18.631750238339912</v>
      </c>
      <c r="D24" s="79">
        <v>25.687749445540263</v>
      </c>
      <c r="E24" s="79">
        <v>36.596846776926633</v>
      </c>
      <c r="F24" s="79">
        <v>44.5913622947946</v>
      </c>
      <c r="G24">
        <f t="array" ref="G24:K24">LINEST(B24:F24,B$3:F$6)</f>
        <v>-8.0713202962716455E-11</v>
      </c>
      <c r="H24">
        <v>2.1324922963484359E-7</v>
      </c>
      <c r="I24">
        <v>-1.7444960904490142E-4</v>
      </c>
      <c r="J24">
        <v>7.6891109709800828E-2</v>
      </c>
      <c r="K24">
        <v>2.2965259000522096</v>
      </c>
    </row>
    <row r="25" spans="2:11" x14ac:dyDescent="0.3">
      <c r="B25" s="79">
        <v>15.461751279770938</v>
      </c>
      <c r="C25" s="79">
        <v>15.766420076745463</v>
      </c>
      <c r="D25" s="79">
        <v>21.074468877077308</v>
      </c>
      <c r="E25" s="79">
        <v>32.819352217187216</v>
      </c>
      <c r="F25" s="79">
        <v>41.548326553345611</v>
      </c>
      <c r="G25">
        <f t="array" ref="G25:K25">LINEST(B25:F25,B$3:F$6)</f>
        <v>-1.0842546798358565E-10</v>
      </c>
      <c r="H25">
        <v>2.7746706915844685E-7</v>
      </c>
      <c r="I25">
        <v>-2.0270045884863546E-4</v>
      </c>
      <c r="J25">
        <v>5.7331513334917962E-2</v>
      </c>
      <c r="K25">
        <v>9.9103154336399655</v>
      </c>
    </row>
    <row r="26" spans="2:11" x14ac:dyDescent="0.3">
      <c r="B26" s="79">
        <v>16.061750528378369</v>
      </c>
      <c r="C26" s="79">
        <v>16.281111617374748</v>
      </c>
      <c r="D26" s="79">
        <v>16.838768141014228</v>
      </c>
      <c r="E26" s="79">
        <v>28.033671450571049</v>
      </c>
      <c r="F26" s="79">
        <v>37.531822504946796</v>
      </c>
      <c r="G26">
        <f t="array" ref="G26:K26">LINEST(B26:F26,B$3:F$6)</f>
        <v>-2.8341904665061722E-10</v>
      </c>
      <c r="H26">
        <v>8.4244464097327655E-7</v>
      </c>
      <c r="I26">
        <v>-8.3534355966913049E-4</v>
      </c>
      <c r="J26">
        <v>0.3355064832655088</v>
      </c>
      <c r="K26">
        <v>-30.276740641927802</v>
      </c>
    </row>
    <row r="27" spans="2:11" x14ac:dyDescent="0.3">
      <c r="B27" s="79">
        <v>16.681566708642279</v>
      </c>
      <c r="C27" s="79">
        <v>16.839226953693881</v>
      </c>
      <c r="D27" s="79">
        <v>16.790599185575459</v>
      </c>
      <c r="E27" s="79">
        <v>24.009787597276002</v>
      </c>
      <c r="F27" s="79">
        <v>34.10754030558401</v>
      </c>
      <c r="G27">
        <f t="array" ref="G27:K27">LINEST(B27:F27,B$3:F$6)</f>
        <v>-1.4043080078180564E-10</v>
      </c>
      <c r="H27">
        <v>4.4769816932208316E-7</v>
      </c>
      <c r="I27">
        <v>-4.6455186053516207E-4</v>
      </c>
      <c r="J27">
        <v>0.1923935410100959</v>
      </c>
      <c r="K27">
        <v>-10.437812786049705</v>
      </c>
    </row>
    <row r="28" spans="2:11" x14ac:dyDescent="0.3">
      <c r="B28" s="79">
        <v>16.731736580517591</v>
      </c>
      <c r="C28" s="79">
        <v>16.68857489415366</v>
      </c>
      <c r="D28" s="79">
        <v>16.879800671375861</v>
      </c>
      <c r="E28" s="79">
        <v>19.06227095405923</v>
      </c>
      <c r="F28" s="79">
        <v>29.838160936127409</v>
      </c>
      <c r="G28">
        <f t="array" ref="G28:K28">LINEST(B28:F28,B$3:F$6)</f>
        <v>8.6896826674031762E-11</v>
      </c>
      <c r="H28">
        <v>-1.9936835729793814E-7</v>
      </c>
      <c r="I28">
        <v>1.6835063069380415E-4</v>
      </c>
      <c r="J28">
        <v>-6.1115258288805256E-2</v>
      </c>
      <c r="K28">
        <v>24.654332614545865</v>
      </c>
    </row>
    <row r="29" spans="2:11" x14ac:dyDescent="0.3">
      <c r="B29" s="79">
        <v>16.60843965409002</v>
      </c>
      <c r="C29" s="79">
        <v>16.597616358519488</v>
      </c>
      <c r="D29" s="79">
        <v>16.875780288003185</v>
      </c>
      <c r="E29" s="79">
        <v>16.989949270368882</v>
      </c>
      <c r="F29" s="79">
        <v>24.311905815855496</v>
      </c>
      <c r="G29">
        <f t="array" ref="G29:K29">LINEST(B29:F29,B$3:F$6)</f>
        <v>1.2006425369435605E-10</v>
      </c>
      <c r="H29">
        <v>-3.1023431695338808E-7</v>
      </c>
      <c r="I29">
        <v>2.8581964479026386E-4</v>
      </c>
      <c r="J29">
        <v>-0.10988160887855779</v>
      </c>
      <c r="K29">
        <v>31.375232536713952</v>
      </c>
    </row>
    <row r="30" spans="2:11" x14ac:dyDescent="0.3">
      <c r="B30" s="79">
        <v>15.87239107804808</v>
      </c>
      <c r="C30" s="79">
        <v>15.901006100192392</v>
      </c>
      <c r="D30" s="79">
        <v>15.922485883345205</v>
      </c>
      <c r="E30" s="79">
        <v>16.053775766794217</v>
      </c>
      <c r="F30" s="79">
        <v>18.984496477352344</v>
      </c>
      <c r="G30">
        <f t="array" ref="G30:K30">LINEST(B30:F30,B$3:F$6)</f>
        <v>3.9910732651349315E-11</v>
      </c>
      <c r="H30">
        <v>-9.9400249980444971E-8</v>
      </c>
      <c r="I30">
        <v>8.812399278825705E-5</v>
      </c>
      <c r="J30">
        <v>-3.2632750248606908E-2</v>
      </c>
      <c r="K30">
        <v>20.121500875965673</v>
      </c>
    </row>
    <row r="31" spans="2:11" x14ac:dyDescent="0.3">
      <c r="B31" s="79">
        <v>14.532727954734613</v>
      </c>
      <c r="C31" s="79">
        <v>14.579463636526315</v>
      </c>
      <c r="D31" s="79">
        <v>14.583785911164414</v>
      </c>
      <c r="E31" s="79">
        <v>14.761597533208048</v>
      </c>
      <c r="F31" s="79">
        <v>15.567179244503295</v>
      </c>
      <c r="G31">
        <f t="array" ref="G31:K31">LINEST(B31:F31,B$3:F$6)</f>
        <v>4.3582341267213298E-12</v>
      </c>
      <c r="H31">
        <v>-8.0560539083644174E-9</v>
      </c>
      <c r="I31">
        <v>4.7423046752533404E-6</v>
      </c>
      <c r="J31">
        <v>-7.6744824619876374E-4</v>
      </c>
      <c r="K31">
        <v>14.512808552196368</v>
      </c>
    </row>
  </sheetData>
  <conditionalFormatting sqref="B8:B31">
    <cfRule type="colorScale" priority="5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C8:C31">
    <cfRule type="colorScale" priority="4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D8:D31">
    <cfRule type="colorScale" priority="3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E8:E31">
    <cfRule type="colorScale" priority="2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F8:F31">
    <cfRule type="colorScale" priority="1">
      <colorScale>
        <cfvo type="min"/>
        <cfvo type="num" val="10"/>
        <cfvo type="max"/>
        <color rgb="FFFFFFFF"/>
        <color rgb="FFF2F2F2"/>
        <color rgb="FFBFBFBF"/>
      </colorScale>
    </cfRule>
  </conditionalFormatting>
  <pageMargins left="0.7" right="0.7" top="0.78740157499999996" bottom="0.78740157499999996" header="0.3" footer="0.3"/>
  <customProperties>
    <customPr name="_pios_id" r:id="rId1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CD17C-96C1-49F7-8559-90A10EBA160E}">
  <dimension ref="A1:G53"/>
  <sheetViews>
    <sheetView workbookViewId="0">
      <selection activeCell="A23" sqref="A23"/>
    </sheetView>
  </sheetViews>
  <sheetFormatPr baseColWidth="10" defaultColWidth="11.44140625" defaultRowHeight="14.4" x14ac:dyDescent="0.3"/>
  <cols>
    <col min="1" max="1" width="11.5546875" bestFit="1" customWidth="1"/>
    <col min="2" max="2" width="13" bestFit="1" customWidth="1"/>
    <col min="8" max="8" width="12" bestFit="1" customWidth="1"/>
    <col min="9" max="9" width="12.5546875" bestFit="1" customWidth="1"/>
    <col min="10" max="12" width="11.5546875" bestFit="1" customWidth="1"/>
  </cols>
  <sheetData>
    <row r="1" spans="1:2" x14ac:dyDescent="0.3">
      <c r="A1" t="s">
        <v>187</v>
      </c>
    </row>
    <row r="3" spans="1:2" x14ac:dyDescent="0.3">
      <c r="A3" t="s">
        <v>188</v>
      </c>
    </row>
    <row r="4" spans="1:2" x14ac:dyDescent="0.3">
      <c r="A4" s="80">
        <v>25.779314386072588</v>
      </c>
      <c r="B4" s="82">
        <v>636.74400333366395</v>
      </c>
    </row>
    <row r="5" spans="1:2" x14ac:dyDescent="0.3">
      <c r="A5" s="80">
        <v>30.432013698585429</v>
      </c>
      <c r="B5" s="82">
        <v>1167.5681459862922</v>
      </c>
    </row>
    <row r="6" spans="1:2" x14ac:dyDescent="0.3">
      <c r="A6" s="80">
        <v>37.331142484482356</v>
      </c>
      <c r="B6" s="82">
        <v>1702.0257697365553</v>
      </c>
    </row>
    <row r="7" spans="1:2" x14ac:dyDescent="0.3">
      <c r="A7" s="80">
        <v>44.413864309022266</v>
      </c>
      <c r="B7" s="82">
        <v>2291.7345151839886</v>
      </c>
    </row>
    <row r="8" spans="1:2" x14ac:dyDescent="0.3">
      <c r="A8" s="80">
        <v>49.243629090475963</v>
      </c>
      <c r="B8" s="82">
        <v>2836.2633569287182</v>
      </c>
    </row>
    <row r="10" spans="1:2" x14ac:dyDescent="0.3">
      <c r="A10" t="s">
        <v>189</v>
      </c>
    </row>
    <row r="11" spans="1:2" x14ac:dyDescent="0.3">
      <c r="A11" s="81">
        <v>24.542168546188638</v>
      </c>
      <c r="B11" s="82">
        <v>497.23333465909883</v>
      </c>
    </row>
    <row r="12" spans="1:2" x14ac:dyDescent="0.3">
      <c r="A12" s="81">
        <v>27.972589973201991</v>
      </c>
      <c r="B12" s="82">
        <v>944.04557429209569</v>
      </c>
    </row>
    <row r="13" spans="1:2" x14ac:dyDescent="0.3">
      <c r="A13" s="81">
        <v>37.200517756089937</v>
      </c>
      <c r="B13" s="82">
        <v>1653.9423021801197</v>
      </c>
    </row>
    <row r="14" spans="1:2" x14ac:dyDescent="0.3">
      <c r="A14" s="81">
        <v>46.325549281022717</v>
      </c>
      <c r="B14" s="82">
        <v>2505.4285892922198</v>
      </c>
    </row>
    <row r="15" spans="1:2" x14ac:dyDescent="0.3">
      <c r="A15" s="81">
        <v>52.735059962189212</v>
      </c>
      <c r="B15" s="82">
        <v>3334.8430356941763</v>
      </c>
    </row>
    <row r="17" spans="1:7" x14ac:dyDescent="0.3">
      <c r="A17" s="71"/>
      <c r="C17" s="71"/>
      <c r="D17" s="71"/>
      <c r="E17" s="71"/>
    </row>
    <row r="19" spans="1:7" x14ac:dyDescent="0.3">
      <c r="A19" s="83"/>
    </row>
    <row r="20" spans="1:7" x14ac:dyDescent="0.3">
      <c r="A20" s="83"/>
    </row>
    <row r="21" spans="1:7" x14ac:dyDescent="0.3">
      <c r="A21" s="84"/>
    </row>
    <row r="22" spans="1:7" x14ac:dyDescent="0.3">
      <c r="A22" s="83"/>
    </row>
    <row r="23" spans="1:7" x14ac:dyDescent="0.3">
      <c r="A23" s="83"/>
    </row>
    <row r="25" spans="1:7" x14ac:dyDescent="0.3">
      <c r="C25" s="27"/>
      <c r="D25" s="27"/>
      <c r="E25" s="27"/>
      <c r="F25" s="27"/>
      <c r="G25" s="27"/>
    </row>
    <row r="29" spans="1:7" x14ac:dyDescent="0.3">
      <c r="C29" s="71"/>
      <c r="D29" s="71"/>
      <c r="E29" s="71"/>
      <c r="F29" s="71"/>
      <c r="G29" s="71"/>
    </row>
    <row r="30" spans="1:7" x14ac:dyDescent="0.3">
      <c r="C30" s="97"/>
      <c r="D30" s="97"/>
      <c r="E30" s="97"/>
      <c r="F30" s="97"/>
      <c r="G30" s="97"/>
    </row>
    <row r="31" spans="1:7" x14ac:dyDescent="0.3">
      <c r="C31" s="97"/>
      <c r="D31" s="97"/>
      <c r="E31" s="97"/>
      <c r="F31" s="97"/>
      <c r="G31" s="97"/>
    </row>
    <row r="32" spans="1:7" x14ac:dyDescent="0.3">
      <c r="C32" s="97"/>
      <c r="D32" s="97"/>
      <c r="E32" s="97"/>
      <c r="F32" s="97"/>
      <c r="G32" s="97"/>
    </row>
    <row r="33" spans="3:7" x14ac:dyDescent="0.3">
      <c r="C33" s="97"/>
      <c r="D33" s="97"/>
      <c r="E33" s="97"/>
      <c r="F33" s="97"/>
      <c r="G33" s="97"/>
    </row>
    <row r="34" spans="3:7" x14ac:dyDescent="0.3">
      <c r="C34" s="97"/>
      <c r="D34" s="97"/>
      <c r="E34" s="97"/>
      <c r="F34" s="97"/>
      <c r="G34" s="97"/>
    </row>
    <row r="35" spans="3:7" x14ac:dyDescent="0.3">
      <c r="C35" s="97"/>
      <c r="D35" s="97"/>
      <c r="E35" s="97"/>
      <c r="F35" s="97"/>
      <c r="G35" s="97"/>
    </row>
    <row r="36" spans="3:7" x14ac:dyDescent="0.3">
      <c r="C36" s="97"/>
      <c r="D36" s="97"/>
      <c r="E36" s="97"/>
      <c r="F36" s="97"/>
      <c r="G36" s="97"/>
    </row>
    <row r="37" spans="3:7" x14ac:dyDescent="0.3">
      <c r="C37" s="97"/>
      <c r="D37" s="97"/>
      <c r="E37" s="97"/>
      <c r="F37" s="97"/>
      <c r="G37" s="97"/>
    </row>
    <row r="38" spans="3:7" x14ac:dyDescent="0.3">
      <c r="C38" s="97"/>
      <c r="D38" s="97"/>
      <c r="E38" s="97"/>
      <c r="F38" s="97"/>
      <c r="G38" s="97"/>
    </row>
    <row r="39" spans="3:7" x14ac:dyDescent="0.3">
      <c r="C39" s="97"/>
      <c r="D39" s="97"/>
      <c r="E39" s="97"/>
      <c r="F39" s="97"/>
      <c r="G39" s="97"/>
    </row>
    <row r="40" spans="3:7" x14ac:dyDescent="0.3">
      <c r="C40" s="97"/>
      <c r="D40" s="97"/>
      <c r="E40" s="97"/>
      <c r="F40" s="97"/>
      <c r="G40" s="97"/>
    </row>
    <row r="41" spans="3:7" x14ac:dyDescent="0.3">
      <c r="C41" s="97"/>
      <c r="D41" s="97"/>
      <c r="E41" s="97"/>
      <c r="F41" s="97"/>
      <c r="G41" s="97"/>
    </row>
    <row r="42" spans="3:7" x14ac:dyDescent="0.3">
      <c r="C42" s="97"/>
      <c r="D42" s="97"/>
      <c r="E42" s="97"/>
      <c r="F42" s="97"/>
      <c r="G42" s="97"/>
    </row>
    <row r="43" spans="3:7" x14ac:dyDescent="0.3">
      <c r="C43" s="97"/>
      <c r="D43" s="97"/>
      <c r="E43" s="97"/>
      <c r="F43" s="97"/>
      <c r="G43" s="97"/>
    </row>
    <row r="44" spans="3:7" x14ac:dyDescent="0.3">
      <c r="C44" s="97"/>
      <c r="D44" s="97"/>
      <c r="E44" s="97"/>
      <c r="F44" s="97"/>
      <c r="G44" s="97"/>
    </row>
    <row r="45" spans="3:7" x14ac:dyDescent="0.3">
      <c r="C45" s="97"/>
      <c r="D45" s="97"/>
      <c r="E45" s="97"/>
      <c r="F45" s="97"/>
      <c r="G45" s="97"/>
    </row>
    <row r="46" spans="3:7" x14ac:dyDescent="0.3">
      <c r="C46" s="97"/>
      <c r="D46" s="97"/>
      <c r="E46" s="97"/>
      <c r="F46" s="97"/>
      <c r="G46" s="97"/>
    </row>
    <row r="47" spans="3:7" x14ac:dyDescent="0.3">
      <c r="C47" s="97"/>
      <c r="D47" s="97"/>
      <c r="E47" s="97"/>
      <c r="F47" s="97"/>
      <c r="G47" s="97"/>
    </row>
    <row r="48" spans="3:7" x14ac:dyDescent="0.3">
      <c r="C48" s="97"/>
      <c r="D48" s="97"/>
      <c r="E48" s="97"/>
      <c r="F48" s="97"/>
      <c r="G48" s="97"/>
    </row>
    <row r="49" spans="3:7" x14ac:dyDescent="0.3">
      <c r="C49" s="97"/>
      <c r="D49" s="97"/>
      <c r="E49" s="97"/>
      <c r="F49" s="97"/>
      <c r="G49" s="97"/>
    </row>
    <row r="50" spans="3:7" x14ac:dyDescent="0.3">
      <c r="C50" s="97"/>
      <c r="D50" s="97"/>
      <c r="E50" s="97"/>
      <c r="F50" s="97"/>
      <c r="G50" s="97"/>
    </row>
    <row r="51" spans="3:7" x14ac:dyDescent="0.3">
      <c r="C51" s="97"/>
      <c r="D51" s="97"/>
      <c r="E51" s="97"/>
      <c r="F51" s="97"/>
      <c r="G51" s="97"/>
    </row>
    <row r="52" spans="3:7" x14ac:dyDescent="0.3">
      <c r="C52" s="97"/>
      <c r="D52" s="97"/>
      <c r="E52" s="97"/>
      <c r="F52" s="97"/>
      <c r="G52" s="97"/>
    </row>
    <row r="53" spans="3:7" x14ac:dyDescent="0.3">
      <c r="C53" s="97"/>
      <c r="D53" s="97"/>
      <c r="E53" s="97"/>
      <c r="F53" s="97"/>
      <c r="G53" s="97"/>
    </row>
  </sheetData>
  <conditionalFormatting sqref="C30:C53">
    <cfRule type="colorScale" priority="5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D30:D53">
    <cfRule type="colorScale" priority="4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E30:E53">
    <cfRule type="colorScale" priority="3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F30:F53">
    <cfRule type="colorScale" priority="1">
      <colorScale>
        <cfvo type="min"/>
        <cfvo type="num" val="10"/>
        <cfvo type="max"/>
        <color rgb="FFFFFFFF"/>
        <color rgb="FFF2F2F2"/>
        <color rgb="FFBFBFBF"/>
      </colorScale>
    </cfRule>
  </conditionalFormatting>
  <conditionalFormatting sqref="G30:G53">
    <cfRule type="colorScale" priority="2">
      <colorScale>
        <cfvo type="min"/>
        <cfvo type="num" val="10"/>
        <cfvo type="max"/>
        <color rgb="FFFFFFFF"/>
        <color rgb="FFF2F2F2"/>
        <color rgb="FFBFBFBF"/>
      </colorScale>
    </cfRule>
  </conditionalFormatting>
  <pageMargins left="0.7" right="0.7" top="0.78740157499999996" bottom="0.78740157499999996" header="0.3" footer="0.3"/>
  <pageSetup paperSize="9" orientation="portrait" horizontalDpi="1200" verticalDpi="1200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D24FE-F9A6-471C-9355-DFA7ECF878D4}">
  <dimension ref="A2:CS34"/>
  <sheetViews>
    <sheetView topLeftCell="AT1" zoomScale="130" zoomScaleNormal="130" workbookViewId="0">
      <selection activeCell="BO17" sqref="BO17"/>
    </sheetView>
  </sheetViews>
  <sheetFormatPr baseColWidth="10" defaultColWidth="11.44140625" defaultRowHeight="14.4" x14ac:dyDescent="0.3"/>
  <cols>
    <col min="1" max="2" width="5.44140625" bestFit="1" customWidth="1"/>
    <col min="3" max="12" width="7.88671875" bestFit="1" customWidth="1"/>
    <col min="14" max="14" width="8.44140625" bestFit="1" customWidth="1"/>
    <col min="15" max="15" width="5.44140625" bestFit="1" customWidth="1"/>
    <col min="16" max="16" width="7.88671875" bestFit="1" customWidth="1"/>
    <col min="17" max="17" width="8.44140625" bestFit="1" customWidth="1"/>
    <col min="18" max="22" width="7.88671875" bestFit="1" customWidth="1"/>
    <col min="23" max="25" width="8.44140625" bestFit="1" customWidth="1"/>
    <col min="27" max="27" width="8.44140625" bestFit="1" customWidth="1"/>
    <col min="28" max="28" width="5" bestFit="1" customWidth="1"/>
    <col min="29" max="35" width="7.88671875" bestFit="1" customWidth="1"/>
    <col min="37" max="37" width="5" bestFit="1" customWidth="1"/>
    <col min="38" max="38" width="5.44140625" bestFit="1" customWidth="1"/>
    <col min="39" max="39" width="7.88671875" bestFit="1" customWidth="1"/>
    <col min="40" max="40" width="6.5546875" bestFit="1" customWidth="1"/>
    <col min="41" max="42" width="7.44140625" bestFit="1" customWidth="1"/>
    <col min="43" max="43" width="7.44140625" customWidth="1"/>
    <col min="44" max="44" width="7.5546875" bestFit="1" customWidth="1"/>
    <col min="45" max="46" width="7.44140625" bestFit="1" customWidth="1"/>
    <col min="47" max="47" width="7.44140625" customWidth="1"/>
    <col min="48" max="48" width="6.5546875" bestFit="1" customWidth="1"/>
    <col min="49" max="50" width="7.44140625" bestFit="1" customWidth="1"/>
    <col min="51" max="51" width="7.44140625" customWidth="1"/>
    <col min="52" max="52" width="6.5546875" bestFit="1" customWidth="1"/>
    <col min="53" max="54" width="7.44140625" bestFit="1" customWidth="1"/>
    <col min="55" max="55" width="7.44140625" customWidth="1"/>
    <col min="56" max="56" width="6.5546875" bestFit="1" customWidth="1"/>
    <col min="57" max="57" width="8.44140625" bestFit="1" customWidth="1"/>
    <col min="58" max="58" width="7.5546875" bestFit="1" customWidth="1"/>
    <col min="59" max="59" width="7.109375" bestFit="1" customWidth="1"/>
    <col min="60" max="62" width="7.5546875" bestFit="1" customWidth="1"/>
    <col min="63" max="63" width="7.44140625" customWidth="1"/>
    <col min="64" max="66" width="7.5546875" bestFit="1" customWidth="1"/>
    <col min="67" max="67" width="7.44140625" customWidth="1"/>
    <col min="68" max="68" width="6.5546875" bestFit="1" customWidth="1"/>
    <col min="69" max="69" width="7.44140625" bestFit="1" customWidth="1"/>
    <col min="70" max="70" width="7.88671875" bestFit="1" customWidth="1"/>
    <col min="71" max="71" width="7.44140625" customWidth="1"/>
    <col min="72" max="73" width="7.44140625" bestFit="1" customWidth="1"/>
    <col min="74" max="74" width="6.88671875" bestFit="1" customWidth="1"/>
    <col min="75" max="75" width="7.44140625" customWidth="1"/>
    <col min="76" max="77" width="7.44140625" bestFit="1" customWidth="1"/>
    <col min="78" max="78" width="6.88671875" bestFit="1" customWidth="1"/>
    <col min="79" max="79" width="7.44140625" customWidth="1"/>
    <col min="80" max="81" width="7.44140625" bestFit="1" customWidth="1"/>
    <col min="82" max="82" width="6.88671875" bestFit="1" customWidth="1"/>
    <col min="83" max="83" width="7.44140625" customWidth="1"/>
    <col min="84" max="85" width="7.44140625" bestFit="1" customWidth="1"/>
    <col min="86" max="86" width="6.88671875" bestFit="1" customWidth="1"/>
    <col min="87" max="87" width="7.44140625" customWidth="1"/>
    <col min="88" max="89" width="7.44140625" bestFit="1" customWidth="1"/>
    <col min="90" max="90" width="6.88671875" bestFit="1" customWidth="1"/>
    <col min="91" max="91" width="6.5546875" bestFit="1" customWidth="1"/>
    <col min="92" max="93" width="7.5546875" bestFit="1" customWidth="1"/>
    <col min="94" max="97" width="13.109375" bestFit="1" customWidth="1"/>
  </cols>
  <sheetData>
    <row r="2" spans="1:97" s="103" customFormat="1" x14ac:dyDescent="0.3">
      <c r="A2">
        <f>Massenstromrechnung!B12</f>
        <v>420</v>
      </c>
      <c r="B2" s="53">
        <v>1205</v>
      </c>
      <c r="C2" s="103">
        <f>IF(Massenstromrechnung!$K$3-10&lt;=Massenstromrechnung!$K$4,Massenstromrechnung!$K$3-0.75*(Massenstromrechnung!$K$3-Massenstromrechnung!$K$4),Massenstromrechnung!$K$3-10)</f>
        <v>65</v>
      </c>
      <c r="D2" s="103">
        <f>-1*((Massenstromrechnung!$K$3+C2)/2-Massenstromrechnung!$K$4)^Konstanten!$E$4*Massenstromrechnung!$B12*Massenstromrechnung!$C12^Konstanten!$F$4*(Massenstromrechnung!$K$3-C2)^Konstanten!$G$4*((Massenstromrechnung!$K$3+C2)/2)^Konstanten!$H$4*(Konstanten!$C$4-((Massenstromrechnung!$K$3-C2)^Konstanten!$I$4*Konstanten!$D$4))/(Massenstromrechnung!$F12*Konstanten!$K$3/3.6)+Massenstromrechnung!$K$3</f>
        <v>65</v>
      </c>
      <c r="E2" s="103">
        <f>D2</f>
        <v>65</v>
      </c>
      <c r="F2" s="103">
        <f>-1*((Massenstromrechnung!$K$3+E2)/2-Massenstromrechnung!$K$4)^Konstanten!$E$4*Massenstromrechnung!$B12*Massenstromrechnung!$C12^Konstanten!$F$4*(Massenstromrechnung!$K$3-E2)^Konstanten!$G$4*((Massenstromrechnung!$K$3+E2)/2)^Konstanten!$H$4*(Konstanten!$C$4-((Massenstromrechnung!$K$3-E2)^Konstanten!$I$4*Konstanten!$D$4))/(Massenstromrechnung!$F12*Konstanten!$K$3/3.6)+Massenstromrechnung!$K$3</f>
        <v>65</v>
      </c>
      <c r="G2" s="103">
        <f t="shared" ref="G2:G31" si="0">F2</f>
        <v>65</v>
      </c>
      <c r="H2" s="103">
        <f>-1*((Massenstromrechnung!$K$3+G2)/2-Massenstromrechnung!$K$4)^Konstanten!$E$4*Massenstromrechnung!$B12*Massenstromrechnung!$C12^Konstanten!$F$4*(Massenstromrechnung!$K$3-G2)^Konstanten!$G$4*((Massenstromrechnung!$K$3+G2)/2)^Konstanten!$H$4*(Konstanten!$C$4-((Massenstromrechnung!$K$3-G2)^Konstanten!$I$4*Konstanten!$D$4))/(Massenstromrechnung!$F12*Konstanten!$K$3/3.6)+Massenstromrechnung!$K$3</f>
        <v>65</v>
      </c>
      <c r="I2" s="103">
        <f t="shared" ref="I2:I31" si="1">H2</f>
        <v>65</v>
      </c>
      <c r="J2" s="103">
        <f>-1*((Massenstromrechnung!$K$3+I2)/2-Massenstromrechnung!$K$4)^Konstanten!$E$4*Massenstromrechnung!$B12*Massenstromrechnung!$C12^Konstanten!$F$4*(Massenstromrechnung!$K$3-I2)^Konstanten!$G$4*((Massenstromrechnung!$K$3+I2)/2)^Konstanten!$H$4*(Konstanten!$C$4-((Massenstromrechnung!$K$3-I2)^Konstanten!$I$4*Konstanten!$D$4))/(Massenstromrechnung!$F12*Konstanten!$K$3/3.6)+Massenstromrechnung!$K$3</f>
        <v>65</v>
      </c>
      <c r="K2" s="103">
        <f t="shared" ref="K2:K31" si="2">J2</f>
        <v>65</v>
      </c>
      <c r="L2" s="103">
        <f>-1*((Massenstromrechnung!$K$3+K2)/2-Massenstromrechnung!$K$4)^Konstanten!$E$4*Massenstromrechnung!$B12*Massenstromrechnung!$C12^Konstanten!$F$4*(Massenstromrechnung!$K$3-K2)^Konstanten!$G$4*((Massenstromrechnung!$K$3+K2)/2)^Konstanten!$H$4*(Konstanten!$C$4-((Massenstromrechnung!$K$3-K2)^Konstanten!$I$4*Konstanten!$D$4))/(Massenstromrechnung!$F12*Konstanten!$K$3/3.6)+Massenstromrechnung!$K$3</f>
        <v>65</v>
      </c>
      <c r="N2">
        <f>'Katalogdaten M3G045'!B16</f>
        <v>420</v>
      </c>
      <c r="O2" s="53">
        <v>1205</v>
      </c>
      <c r="P2" s="103">
        <f>IF(Massenstromrechnung!$K$3-10&lt;=Massenstromrechnung!$K$4,Massenstromrechnung!$K$3-0.75*(Massenstromrechnung!$K$3-Massenstromrechnung!$K$4),Massenstromrechnung!$K$3-10)</f>
        <v>65</v>
      </c>
      <c r="Q2" s="103" t="e">
        <f>-1*((Massenstromrechnung!$K$3+P2)/2-Massenstromrechnung!$K$4)^Konstanten!$E$4*Massenstromrechnung!$B12*Massenstromrechnung!$C12^Konstanten!$F$4*(Massenstromrechnung!$K$3-P2)^Konstanten!$G$4*((Massenstromrechnung!$K$3+P2)/2)^Konstanten!$H$4*(Konstanten!$C$4-((Massenstromrechnung!$K$3-P2)^Konstanten!$I$4*Konstanten!$D$4))/(Massenstromrechnung!#REF!*Konstanten!$K$3/3.6)+Massenstromrechnung!$K$3</f>
        <v>#REF!</v>
      </c>
      <c r="R2" s="103" t="e">
        <f>Q2</f>
        <v>#REF!</v>
      </c>
      <c r="S2" s="103" t="e">
        <f>-1*((Massenstromrechnung!$K$3+R2)/2-Massenstromrechnung!$K$4)^Konstanten!$E$4*Massenstromrechnung!$B12*Massenstromrechnung!$C12^Konstanten!$F$4*(Massenstromrechnung!$K$3-R2)^Konstanten!$G$4*((Massenstromrechnung!$K$3+R2)/2)^Konstanten!$H$4*(Konstanten!$C$4-((Massenstromrechnung!$K$3-R2)^Konstanten!$I$4*Konstanten!$D$4))/(Massenstromrechnung!#REF!*Konstanten!$K$3/3.6)+Massenstromrechnung!$K$3</f>
        <v>#REF!</v>
      </c>
      <c r="T2" s="103" t="e">
        <f t="shared" ref="T2:T31" si="3">S2</f>
        <v>#REF!</v>
      </c>
      <c r="U2" s="103" t="e">
        <f>-1*((Massenstromrechnung!$K$3+T2)/2-Massenstromrechnung!$K$4)^Konstanten!$E$4*Massenstromrechnung!$B12*Massenstromrechnung!$C12^Konstanten!$F$4*(Massenstromrechnung!$K$3-T2)^Konstanten!$G$4*((Massenstromrechnung!$K$3+T2)/2)^Konstanten!$H$4*(Konstanten!$C$4-((Massenstromrechnung!$K$3-T2)^Konstanten!$I$4*Konstanten!$D$4))/(Massenstromrechnung!#REF!*Konstanten!$K$3/3.6)+Massenstromrechnung!$K$3</f>
        <v>#REF!</v>
      </c>
      <c r="V2" s="103" t="e">
        <f t="shared" ref="V2:V31" si="4">U2</f>
        <v>#REF!</v>
      </c>
      <c r="W2" s="103" t="e">
        <f>-1*((Massenstromrechnung!$K$3+V2)/2-Massenstromrechnung!$K$4)^Konstanten!$E$4*Massenstromrechnung!$B12*Massenstromrechnung!$C12^Konstanten!$F$4*(Massenstromrechnung!$K$3-V2)^Konstanten!$G$4*((Massenstromrechnung!$K$3+V2)/2)^Konstanten!$H$4*(Konstanten!$C$4-((Massenstromrechnung!$K$3-V2)^Konstanten!$I$4*Konstanten!$D$4))/(Massenstromrechnung!#REF!*Konstanten!$K$3/3.6)+Massenstromrechnung!$K$3</f>
        <v>#REF!</v>
      </c>
      <c r="X2" s="103" t="e">
        <f t="shared" ref="X2:X31" si="5">W2</f>
        <v>#REF!</v>
      </c>
      <c r="Y2" s="103" t="e">
        <f>-1*((Massenstromrechnung!$K$3+X2)/2-Massenstromrechnung!$K$4)^Konstanten!$E$4*Massenstromrechnung!$B12*Massenstromrechnung!$C12^Konstanten!$F$4*(Massenstromrechnung!$K$3-X2)^Konstanten!$G$4*((Massenstromrechnung!$K$3+X2)/2)^Konstanten!$H$4*(Konstanten!$C$4-((Massenstromrechnung!$K$3-X2)^Konstanten!$I$4*Konstanten!$D$4))/(Massenstromrechnung!#REF!*Konstanten!$K$3/3.6)+Massenstromrechnung!$K$3</f>
        <v>#REF!</v>
      </c>
      <c r="AA2">
        <f>N2</f>
        <v>420</v>
      </c>
      <c r="AB2">
        <f>O2</f>
        <v>1205</v>
      </c>
      <c r="AC2" s="103">
        <f>IF(Massenstromrechnung!$K$3-10&lt;=Massenstromrechnung!$K$4,Massenstromrechnung!$K$3-0.75*(Massenstromrechnung!$K$3-Massenstromrechnung!$K$4),Massenstromrechnung!$K$3-10)</f>
        <v>65</v>
      </c>
      <c r="AD2" s="103">
        <f>-1*((Massenstromrechnung!$K$3+AC2)/2-Massenstromrechnung!$K$4)^Konstanten!$E$5*$AA2*$AB2^Konstanten!$F$5*(Massenstromrechnung!$K$3-AC2)^Konstanten!$G$5*((Massenstromrechnung!$K$3+AC2)/2)^Konstanten!$H$5*(Konstanten!$C$5-((Massenstromrechnung!$K$3-AC2)^Konstanten!$I$5*Konstanten!$D$5))/(Massenstromrechnung!$L12*Konstanten!$K$3/3.6)+Massenstromrechnung!$K$3</f>
        <v>65</v>
      </c>
      <c r="AE2" s="103">
        <f>-1*((Massenstromrechnung!$K$3+AD2)/2-Massenstromrechnung!$K$4)^Konstanten!$E$5*$AA2*$AB2^Konstanten!$F$5*(Massenstromrechnung!$K$3-AD2)^Konstanten!$G$5*((Massenstromrechnung!$K$3+AD2)/2)^Konstanten!$H$5*(Konstanten!$C$5-((Massenstromrechnung!$K$3-AD2)^Konstanten!$I$5*Konstanten!$D$5))/(Massenstromrechnung!$L12*Konstanten!$K$3/3.6)+Massenstromrechnung!$K$3</f>
        <v>65</v>
      </c>
      <c r="AF2" s="103">
        <f>-1*((Massenstromrechnung!$K$3+AE2)/2-Massenstromrechnung!$K$4)^Konstanten!$E$5*$AA2*$AB2^Konstanten!$F$5*(Massenstromrechnung!$K$3-AE2)^Konstanten!$G$5*((Massenstromrechnung!$K$3+AE2)/2)^Konstanten!$H$5*(Konstanten!$C$5-((Massenstromrechnung!$K$3-AE2)^Konstanten!$I$5*Konstanten!$D$5))/(Massenstromrechnung!$L12*Konstanten!$K$3/3.6)+Massenstromrechnung!$K$3</f>
        <v>65</v>
      </c>
      <c r="AG2" s="103">
        <f>-1*((Massenstromrechnung!$K$3+AF2)/2-Massenstromrechnung!$K$4)^Konstanten!$E$5*$AA2*$AB2^Konstanten!$F$5*(Massenstromrechnung!$K$3-AF2)^Konstanten!$G$5*((Massenstromrechnung!$K$3+AF2)/2)^Konstanten!$H$5*(Konstanten!$C$5-((Massenstromrechnung!$K$3-AF2)^Konstanten!$I$5*Konstanten!$D$5))/(Massenstromrechnung!$L12*Konstanten!$K$3/3.6)+Massenstromrechnung!$K$3</f>
        <v>65</v>
      </c>
      <c r="AH2" s="103">
        <f>-1*((Massenstromrechnung!$K$3+AG2)/2-Massenstromrechnung!$K$4)^Konstanten!$E$5*$AA2*$AB2^Konstanten!$F$5*(Massenstromrechnung!$K$3-AG2)^Konstanten!$G$5*((Massenstromrechnung!$K$3+AG2)/2)^Konstanten!$H$5*(Konstanten!$C$5-((Massenstromrechnung!$K$3-AG2)^Konstanten!$I$5*Konstanten!$D$5))/(Massenstromrechnung!$L12*Konstanten!$K$3/3.6)+Massenstromrechnung!$K$3</f>
        <v>65</v>
      </c>
      <c r="AI2" s="103">
        <f>-1*((Massenstromrechnung!$K$3+AH2)/2-Massenstromrechnung!$K$4)^Konstanten!$E$5*$AA2*$AB2^Konstanten!$F$5*(Massenstromrechnung!$K$3-AH2)^Konstanten!$G$5*((Massenstromrechnung!$K$3+AH2)/2)^Konstanten!$H$5*(Konstanten!$C$5-((Massenstromrechnung!$K$3-AH2)^Konstanten!$I$5*Konstanten!$D$5))/(Massenstromrechnung!$L12*Konstanten!$K$3/3.6)+Massenstromrechnung!$K$3</f>
        <v>65</v>
      </c>
      <c r="AK2">
        <f>AA2</f>
        <v>420</v>
      </c>
      <c r="AL2">
        <f>AB2</f>
        <v>1205</v>
      </c>
      <c r="AM2" s="103">
        <f>Massenstromrechnung!$X$3+2</f>
        <v>9</v>
      </c>
      <c r="AN2" s="103" t="str">
        <f>IF(OR(Massenstromrechnung!$Y$6&lt;(AM2*50+Massenstromrechnung!$X$3)/51,(Massenstromrechnung!$Y$6-(AM2*51+Massenstromrechnung!$X$3)/51)&lt;0.7),"trocken","feucht")</f>
        <v>feucht</v>
      </c>
      <c r="AO2" s="104">
        <f>(Massenstromrechnung!$X$4-(Massenstromrechnung!$X$3+AM2)/2)^Konstanten!$E$6*$AK2*$AL2^Konstanten!$F$6*(AM2-Massenstromrechnung!$X$3)^Konstanten!$G$6*((Massenstromrechnung!$X$3+AM2)/2)^Konstanten!$H$6*(Konstanten!$C$6-(AM2-Massenstromrechnung!$X$3)^Konstanten!$I$6*Konstanten!$D$6)</f>
        <v>864.77454561701836</v>
      </c>
      <c r="AP2" s="104">
        <f>IF(AN2="trocken",AO2,IF(Konstanten!$A$18*(Massenstromrechnung!$Y$6^Konstanten!$B$18*(Massenstromrechnung!$X$4-(Iteration!AM2+Massenstromrechnung!$X$3)/2)^Konstanten!$C$18*AO2^Konstanten!$D$18*((Massenstromrechnung!$X$3+Iteration!AM2)/2)^Konstanten!$E$18+(Iteration!AM2-Massenstromrechnung!$X$3)^Konstanten!$F$18)&lt;1,AO2,AO2*Konstanten!$A$18*(Massenstromrechnung!$Y$6^Konstanten!$B$18*(Massenstromrechnung!$X$4-(Iteration!AM2+Massenstromrechnung!$X$3)/2)^Konstanten!$C$18*AO2^Konstanten!$D$18*((Massenstromrechnung!$X$3+Iteration!AM2)/2)^Konstanten!$E$18+(Iteration!AM2-Massenstromrechnung!$X$3)^Konstanten!$F$18)))</f>
        <v>1300.0723174662189</v>
      </c>
      <c r="AQ2" s="101">
        <f>AP2/(Massenstromrechnung!$R12*Konstanten!$K$3/3.6)+Massenstromrechnung!$X$3</f>
        <v>13.215607072939152</v>
      </c>
      <c r="AR2" s="103" t="str">
        <f>IF(OR(Massenstromrechnung!$Y$6&lt;(AQ2*50+Massenstromrechnung!$X$3)/51,(Massenstromrechnung!$Y$6-(AQ2*51+Massenstromrechnung!$X$3)/51)&lt;0.7),"trocken","feucht")</f>
        <v>feucht</v>
      </c>
      <c r="AS2" s="104">
        <f>(Massenstromrechnung!$X$4-(Massenstromrechnung!$X$3+AQ2)/2)^Konstanten!$E$6*$AK2*$AL2^Konstanten!$F$6*(AQ2-Massenstromrechnung!$X$3)^Konstanten!$G$6*((Massenstromrechnung!$X$3+AQ2)/2)^Konstanten!$H$6*(Konstanten!$C$6-(AQ2-Massenstromrechnung!$X$3)^Konstanten!$I$6*Konstanten!$D$6)</f>
        <v>722.58186836051254</v>
      </c>
      <c r="AT2" s="104">
        <f>IF(AR2="trocken",AS2,IF(Konstanten!$A$18*(Massenstromrechnung!$Y$6^Konstanten!$B$18*(Massenstromrechnung!$X$4-(Iteration!AQ2+Massenstromrechnung!$X$3)/2)^Konstanten!$C$18*AS2^Konstanten!$D$18*((Massenstromrechnung!$X$3+Iteration!AQ2)/2)^Konstanten!$E$18+(Iteration!AQ2-Massenstromrechnung!$X$3)^Konstanten!$F$18)&lt;1,AS2,AS2*Konstanten!$A$18*(Massenstromrechnung!$Y$6^Konstanten!$B$18*(Massenstromrechnung!$X$4-(Iteration!AQ2+Massenstromrechnung!$X$3)/2)^Konstanten!$C$18*AS2^Konstanten!$D$18*((Massenstromrechnung!$X$3+Iteration!AQ2)/2)^Konstanten!$E$18+(Iteration!AQ2-Massenstromrechnung!$X$3)^Konstanten!$F$18)))</f>
        <v>961.3844809166884</v>
      </c>
      <c r="AU2" s="101">
        <f>AT2/(Massenstromrechnung!$R12*Konstanten!$K$3/3.6)+Massenstromrechnung!$X$3</f>
        <v>11.59635060228484</v>
      </c>
      <c r="AV2" s="103" t="str">
        <f>IF(OR(Massenstromrechnung!$Y$6&lt;(AU2*50+Massenstromrechnung!$X$3)/51,(Massenstromrechnung!$Y$6-(AU2*51+Massenstromrechnung!$X$3)/51)&lt;0.7),"trocken","feucht")</f>
        <v>feucht</v>
      </c>
      <c r="AW2" s="104">
        <f>(Massenstromrechnung!$X$4-(Massenstromrechnung!$X$3+AU2)/2)^Konstanten!$E$6*$AK2*$AL2^Konstanten!$F$6*(AU2-Massenstromrechnung!$X$3)^Konstanten!$G$6*((Massenstromrechnung!$X$3+AU2)/2)^Konstanten!$H$6*(Konstanten!$C$6-(AU2-Massenstromrechnung!$X$3)^Konstanten!$I$6*Konstanten!$D$6)</f>
        <v>779.9634332850261</v>
      </c>
      <c r="AX2" s="104">
        <f>IF(AV2="trocken",AW2,IF(Konstanten!$A$18*(Massenstromrechnung!$Y$6^Konstanten!$B$18*(Massenstromrechnung!$X$4-(Iteration!AU2+Massenstromrechnung!$X$3)/2)^Konstanten!$C$18*AW2^Konstanten!$D$18*((Massenstromrechnung!$X$3+Iteration!AU2)/2)^Konstanten!$E$18+(Iteration!AU2-Massenstromrechnung!$X$3)^Konstanten!$F$18)&lt;1,AW2,AW2*Konstanten!$A$18*(Massenstromrechnung!$Y$6^Konstanten!$B$18*(Massenstromrechnung!$X$4-(Iteration!AU2+Massenstromrechnung!$X$3)/2)^Konstanten!$C$18*AW2^Konstanten!$D$18*((Massenstromrechnung!$X$3+Iteration!AU2)/2)^Konstanten!$E$18+(Iteration!AU2-Massenstromrechnung!$X$3)^Konstanten!$F$18)))</f>
        <v>1076.5985624726022</v>
      </c>
      <c r="AY2" s="101">
        <f>AX2/(Massenstromrechnung!$R12*Konstanten!$K$3/3.6)+Massenstromrechnung!$X$3</f>
        <v>12.14718569860996</v>
      </c>
      <c r="AZ2" s="103" t="str">
        <f>IF(OR(Massenstromrechnung!$Y$6&lt;(AY2*50+Massenstromrechnung!$X$3)/51,(Massenstromrechnung!$Y$6-(AY2*51+Massenstromrechnung!$X$3)/51)&lt;0.7),"trocken","feucht")</f>
        <v>feucht</v>
      </c>
      <c r="BA2" s="104">
        <f>(Massenstromrechnung!$X$4-(Massenstromrechnung!$X$3+AY2)/2)^Konstanten!$E$6*$AK2*$AL2^Konstanten!$F$6*(AY2-Massenstromrechnung!$X$3)^Konstanten!$G$6*((Massenstromrechnung!$X$3+AY2)/2)^Konstanten!$H$6*(Konstanten!$C$6-(AY2-Massenstromrechnung!$X$3)^Konstanten!$I$6*Konstanten!$D$6)</f>
        <v>759.88521337930604</v>
      </c>
      <c r="BB2" s="104">
        <f>IF(AZ2="trocken",BA2,IF(Konstanten!$A$18*(Massenstromrechnung!$Y$6^Konstanten!$B$18*(Massenstromrechnung!$X$4-(Iteration!AY2+Massenstromrechnung!$X$3)/2)^Konstanten!$C$18*BA2^Konstanten!$D$18*((Massenstromrechnung!$X$3+Iteration!AY2)/2)^Konstanten!$E$18+(Iteration!AY2-Massenstromrechnung!$X$3)^Konstanten!$F$18)&lt;1,BA2,BA2*Konstanten!$A$18*(Massenstromrechnung!$Y$6^Konstanten!$B$18*(Massenstromrechnung!$X$4-(Iteration!AY2+Massenstromrechnung!$X$3)/2)^Konstanten!$C$18*BA2^Konstanten!$D$18*((Massenstromrechnung!$X$3+Iteration!AY2)/2)^Konstanten!$E$18+(Iteration!AY2-Massenstromrechnung!$X$3)^Konstanten!$F$18)))</f>
        <v>1034.9450804498124</v>
      </c>
      <c r="BC2" s="101">
        <f>BB2/(Massenstromrechnung!$R12*Konstanten!$K$3/3.6)+Massenstromrechnung!$X$3</f>
        <v>11.948041640240973</v>
      </c>
      <c r="BD2" s="103" t="str">
        <f>IF(OR(Massenstromrechnung!$Y$6&lt;(BC2*50+Massenstromrechnung!$X$3)/51,(Massenstromrechnung!$Y$6-(BC2*51+Massenstromrechnung!$X$3)/51)&lt;0.7),"trocken","feucht")</f>
        <v>feucht</v>
      </c>
      <c r="BE2" s="104">
        <f>(Massenstromrechnung!$X$4-(Massenstromrechnung!$X$3+BC2)/2)^Konstanten!$E$6*$AK2*$AL2^Konstanten!$F$6*(BC2-Massenstromrechnung!$X$3)^Konstanten!$G$6*((Massenstromrechnung!$X$3+BC2)/2)^Konstanten!$H$6*(Konstanten!$C$6-(BC2-Massenstromrechnung!$X$3)^Konstanten!$I$6*Konstanten!$D$6)</f>
        <v>767.08477495616501</v>
      </c>
      <c r="BF2" s="104">
        <f>IF(BD2="trocken",BE2,IF(Konstanten!$A$18*(Massenstromrechnung!$Y$6^Konstanten!$B$18*(Massenstromrechnung!$X$4-(Iteration!BC2+Massenstromrechnung!$X$3)/2)^Konstanten!$C$18*BE2^Konstanten!$D$18*((Massenstromrechnung!$X$3+Iteration!BC2)/2)^Konstanten!$E$18+(Iteration!BC2-Massenstromrechnung!$X$3)^Konstanten!$F$18)&lt;1,BE2,BE2*Konstanten!$A$18*(Massenstromrechnung!$Y$6^Konstanten!$B$18*(Massenstromrechnung!$X$4-(Iteration!BC2+Massenstromrechnung!$X$3)/2)^Konstanten!$C$18*BE2^Konstanten!$D$18*((Massenstromrechnung!$X$3+Iteration!BC2)/2)^Konstanten!$E$18+(Iteration!BC2-Massenstromrechnung!$X$3)^Konstanten!$F$18)))</f>
        <v>1049.6943430955021</v>
      </c>
      <c r="BG2" s="101">
        <f>BF2/(Massenstromrechnung!$R12*Konstanten!$K$3/3.6)+Massenstromrechnung!$X$3</f>
        <v>12.01855742616268</v>
      </c>
      <c r="BH2" s="103" t="str">
        <f>IF(OR(Massenstromrechnung!$Y$6&lt;(BG2*50+Massenstromrechnung!$X$3)/51,(Massenstromrechnung!$Y$6-(BG2*51+Massenstromrechnung!$X$3)/51)&lt;0.7),"trocken","feucht")</f>
        <v>feucht</v>
      </c>
      <c r="BI2" s="104">
        <f>(Massenstromrechnung!$X$4-(Massenstromrechnung!$X$3+BG2)/2)^Konstanten!$E$6*$AK2*$AL2^Konstanten!$F$6*(BG2-Massenstromrechnung!$X$3)^Konstanten!$G$6*((Massenstromrechnung!$X$3+BG2)/2)^Konstanten!$H$6*(Konstanten!$C$6-(BG2-Massenstromrechnung!$X$3)^Konstanten!$I$6*Konstanten!$D$6)</f>
        <v>764.5272633824269</v>
      </c>
      <c r="BJ2" s="104">
        <f>IF(BH2="trocken",BI2,IF(Konstanten!$A$18*(Massenstromrechnung!$Y$6^Konstanten!$B$18*(Massenstromrechnung!$X$4-(Iteration!BG2+Massenstromrechnung!$X$3)/2)^Konstanten!$C$18*BI2^Konstanten!$D$18*((Massenstromrechnung!$X$3+Iteration!BG2)/2)^Konstanten!$E$18+(Iteration!BG2-Massenstromrechnung!$X$3)^Konstanten!$F$18)&lt;1,BI2,BI2*Konstanten!$A$18*(Massenstromrechnung!$Y$6^Konstanten!$B$18*(Massenstromrechnung!$X$4-(Iteration!BG2+Massenstromrechnung!$X$3)/2)^Konstanten!$C$18*BI2^Konstanten!$D$18*((Massenstromrechnung!$X$3+Iteration!BG2)/2)^Konstanten!$E$18+(Iteration!BG2-Massenstromrechnung!$X$3)^Konstanten!$F$18)))</f>
        <v>1044.4322330589398</v>
      </c>
      <c r="BK2" s="101">
        <f>IF(BJ2/(Massenstromrechnung!$R12*Konstanten!$K$3/3.6)+Massenstromrechnung!$X$3-Massenstromrechnung!$X$3&lt;1.4,"RLT zu niedrig",BJ2/(Massenstromrechnung!$R12*Konstanten!$K$3/3.6)+Massenstromrechnung!$X$3)</f>
        <v>11.993399434624498</v>
      </c>
      <c r="BL2" s="103" t="str">
        <f>IF(BK2="RLT zu niedrig","RLT zu niedrig",IF(OR(Massenstromrechnung!$Y$6&lt;(BK2*50+Massenstromrechnung!$X$3)/51,(Massenstromrechnung!$Y$6-(BK2*51+Massenstromrechnung!$X$3)/51)&lt;0.7),"trocken","feucht"))</f>
        <v>feucht</v>
      </c>
      <c r="BM2" s="104">
        <f>IF(BK2="RLT zu niedrig","RLT zu niedrig",(Massenstromrechnung!$X$4-(Massenstromrechnung!$X$3+BK2)/2)^Konstanten!$E$6*$AK2*$AL2^Konstanten!$F$6*(BK2-Massenstromrechnung!$X$3)^Konstanten!$G$6*((Massenstromrechnung!$X$3+BK2)/2)^Konstanten!$H$6*(Konstanten!$C$6-(BK2-Massenstromrechnung!$X$3)^Konstanten!$I$6*Konstanten!$D$6))</f>
        <v>765.43869849091345</v>
      </c>
      <c r="BN2" s="104">
        <f>IF(BK2="RLT zu niedrig","RLT zu niedrig",IF(BL2="trocken",BM2,IF(Konstanten!$A$18*(Massenstromrechnung!$Y$6^Konstanten!$B$18*(Massenstromrechnung!$X$4-(Iteration!BK2+Massenstromrechnung!$X$3)/2)^Konstanten!$C$18*BM2^Konstanten!$D$18*((Massenstromrechnung!$X$3+Iteration!BK2)/2)^Konstanten!$E$18+(Iteration!BK2-Massenstromrechnung!$X$3)^Konstanten!$F$18)&lt;1,BM2,BM2*Konstanten!$A$18*(Massenstromrechnung!$Y$6^Konstanten!$B$18*(Massenstromrechnung!$X$4-(Iteration!BK2+Massenstromrechnung!$X$3)/2)^Konstanten!$C$18*BM2^Konstanten!$D$18*((Massenstromrechnung!$X$3+Iteration!BK2)/2)^Konstanten!$E$18+(Iteration!BK2-Massenstromrechnung!$X$3)^Konstanten!$F$18))))</f>
        <v>1046.3046032393142</v>
      </c>
      <c r="BO2" s="101"/>
      <c r="BP2">
        <f>AK2</f>
        <v>420</v>
      </c>
      <c r="BQ2">
        <f>AL2</f>
        <v>1205</v>
      </c>
      <c r="BR2" s="103">
        <f>Massenstromrechnung!$X$3+2</f>
        <v>9</v>
      </c>
      <c r="BS2" s="103" t="str">
        <f>IF(OR(Massenstromrechnung!$Y$6&lt;(BR2*50+Massenstromrechnung!$X$3)/51,(Massenstromrechnung!$Y$6-(BR2*51+Massenstromrechnung!$X$3)/51)&lt;0.7),"trocken","feucht")</f>
        <v>feucht</v>
      </c>
      <c r="BT2" s="104">
        <f>(Massenstromrechnung!$X$4-(Massenstromrechnung!$X$3+BR2)/2)^Konstanten!$E$7*$AK2*$AL2^Konstanten!$F$7*(BR2-Massenstromrechnung!$X$3)^Konstanten!$G$7*((Massenstromrechnung!$X$3+BR2)/2)^Konstanten!$H$7*(Konstanten!$C$7-(BR2-Massenstromrechnung!$X$3)^Konstanten!$I$7*Konstanten!$D$7)</f>
        <v>933.77820299914686</v>
      </c>
      <c r="BU2" s="104">
        <f>IF(BS2="trocken",BT2,IF(Konstanten!$A$18*(Massenstromrechnung!$Y$6^Konstanten!$B$18*(Massenstromrechnung!$X$4-(Iteration!BR2+Massenstromrechnung!$X$3)/2)^Konstanten!$C$18*BT2^Konstanten!$D$18*((Massenstromrechnung!$X$3+Iteration!BR2)/2)^Konstanten!$E$18+(Iteration!BR2-Massenstromrechnung!$X$3)^Konstanten!$F$18)&lt;1,BT2,BT2*Konstanten!$A$18*(Massenstromrechnung!$Y$6^Konstanten!$B$18*(Massenstromrechnung!$X$4-(Iteration!BR2+Massenstromrechnung!$X$3)/2)^Konstanten!$C$18*BT2^Konstanten!$D$18*((Massenstromrechnung!$X$3+Iteration!BR2)/2)^Konstanten!$E$18+(Iteration!BR2-Massenstromrechnung!$X$3)^Konstanten!$F$18)))</f>
        <v>1400.6923654596042</v>
      </c>
      <c r="BV2" s="101">
        <f>BU2/(Massenstromrechnung!$AA12*Konstanten!$K$3/3.6)+Massenstromrechnung!$X$3</f>
        <v>13.893152765961434</v>
      </c>
      <c r="BW2" s="103" t="str">
        <f>IF(OR(Massenstromrechnung!$Y$6&lt;(BV2*50+Massenstromrechnung!$X$3)/51,(Massenstromrechnung!$Y$6-(BV2*51+Massenstromrechnung!$X$3)/51)&lt;0.7),"trocken","feucht")</f>
        <v>feucht</v>
      </c>
      <c r="BX2" s="104">
        <f>(Massenstromrechnung!$X$4-(Massenstromrechnung!$X$3+BV2)/2)^Konstanten!$E$7*$AK2*$AL2^Konstanten!$F$7*(BV2-Massenstromrechnung!$X$3)^Konstanten!$G$7*((Massenstromrechnung!$X$3+BV2)/2)^Konstanten!$H$7*(Konstanten!$C$7-(BV2-Massenstromrechnung!$X$3)^Konstanten!$I$7*Konstanten!$D$7)</f>
        <v>667.55799751979339</v>
      </c>
      <c r="BY2" s="104">
        <f>IF(BW2="trocken",BX2,IF(Konstanten!$A$18*(Massenstromrechnung!$Y$6^Konstanten!$B$18*(Massenstromrechnung!$X$4-(Iteration!BV2+Massenstromrechnung!$X$3)/2)^Konstanten!$C$18*BX2^Konstanten!$D$18*((Massenstromrechnung!$X$3+Iteration!BV2)/2)^Konstanten!$E$18+(Iteration!BV2-Massenstromrechnung!$X$3)^Konstanten!$F$18)&lt;1,BX2,BX2*Konstanten!$A$18*(Massenstromrechnung!$Y$6^Konstanten!$B$18*(Massenstromrechnung!$X$4-(Iteration!BV2+Massenstromrechnung!$X$3)/2)^Konstanten!$C$18*BX2^Konstanten!$D$18*((Massenstromrechnung!$X$3+Iteration!BV2)/2)^Konstanten!$E$18+(Iteration!BV2-Massenstromrechnung!$X$3)^Konstanten!$F$18)))</f>
        <v>877.62536544709008</v>
      </c>
      <c r="BZ2" s="101">
        <f>BY2/(Massenstromrechnung!$AA12*Konstanten!$K$3/3.6)+Massenstromrechnung!$X$3</f>
        <v>11.31901098663052</v>
      </c>
      <c r="CA2" s="103" t="str">
        <f>IF(OR(Massenstromrechnung!$Y$6&lt;(BZ2*50+Massenstromrechnung!$X$3)/51,(Massenstromrechnung!$Y$6-(BZ2*51+Massenstromrechnung!$X$3)/51)&lt;0.7),"trocken","feucht")</f>
        <v>feucht</v>
      </c>
      <c r="CB2" s="104">
        <f>(Massenstromrechnung!$X$4-(Massenstromrechnung!$X$3+BZ2)/2)^Konstanten!$E$7*$AK2*$AL2^Konstanten!$F$7*(BZ2-Massenstromrechnung!$X$3)^Konstanten!$G$7*((Massenstromrechnung!$X$3+BZ2)/2)^Konstanten!$H$7*(Konstanten!$C$7-(BZ2-Massenstromrechnung!$X$3)^Konstanten!$I$7*Konstanten!$D$7)</f>
        <v>775.08093307427725</v>
      </c>
      <c r="CC2" s="104">
        <f>IF(CA2="trocken",CB2,IF(Konstanten!$A$18*(Massenstromrechnung!$Y$6^Konstanten!$B$18*(Massenstromrechnung!$X$4-(Iteration!BZ2+Massenstromrechnung!$X$3)/2)^Konstanten!$C$18*CB2^Konstanten!$D$18*((Massenstromrechnung!$X$3+Iteration!BZ2)/2)^Konstanten!$E$18+(Iteration!BZ2-Massenstromrechnung!$X$3)^Konstanten!$F$18)&lt;1,CB2,CB2*Konstanten!$A$18*(Massenstromrechnung!$Y$6^Konstanten!$B$18*(Massenstromrechnung!$X$4-(Iteration!BZ2+Massenstromrechnung!$X$3)/2)^Konstanten!$C$18*CB2^Konstanten!$D$18*((Massenstromrechnung!$X$3+Iteration!BZ2)/2)^Konstanten!$E$18+(Iteration!BZ2-Massenstromrechnung!$X$3)^Konstanten!$F$18)))</f>
        <v>1078.1496474667142</v>
      </c>
      <c r="CD2" s="101">
        <f>CC2/(Massenstromrechnung!$AA12*Konstanten!$K$3/3.6)+Massenstromrechnung!$X$3</f>
        <v>12.305840459919221</v>
      </c>
      <c r="CE2" s="103" t="str">
        <f>IF(OR(Massenstromrechnung!$Y$6&lt;(CD2*50+Massenstromrechnung!$X$3)/51,(Massenstromrechnung!$Y$6-(CD2*51+Massenstromrechnung!$X$3)/51)&lt;0.7),"trocken","feucht")</f>
        <v>feucht</v>
      </c>
      <c r="CF2" s="104">
        <f>(Massenstromrechnung!$X$4-(Massenstromrechnung!$X$3+CD2)/2)^Konstanten!$E$7*$AK2*$AL2^Konstanten!$F$7*(CD2-Massenstromrechnung!$X$3)^Konstanten!$G$7*((Massenstromrechnung!$X$3+CD2)/2)^Konstanten!$H$7*(Konstanten!$C$7-(CD2-Massenstromrechnung!$X$3)^Konstanten!$I$7*Konstanten!$D$7)</f>
        <v>729.30271641620106</v>
      </c>
      <c r="CG2" s="104">
        <f>IF(CE2="trocken",CF2,IF(Konstanten!$A$18*(Massenstromrechnung!$Y$6^Konstanten!$B$18*(Massenstromrechnung!$X$4-(Iteration!CD2+Massenstromrechnung!$X$3)/2)^Konstanten!$C$18*CF2^Konstanten!$D$18*((Massenstromrechnung!$X$3+Iteration!CD2)/2)^Konstanten!$E$18+(Iteration!CD2-Massenstromrechnung!$X$3)^Konstanten!$F$18)&lt;1,CF2,CF2*Konstanten!$A$18*(Massenstromrechnung!$Y$6^Konstanten!$B$18*(Massenstromrechnung!$X$4-(Iteration!CD2+Massenstromrechnung!$X$3)/2)^Konstanten!$C$18*CF2^Konstanten!$D$18*((Massenstromrechnung!$X$3+Iteration!CD2)/2)^Konstanten!$E$18+(Iteration!CD2-Massenstromrechnung!$X$3)^Konstanten!$F$18)))</f>
        <v>990.64193291555966</v>
      </c>
      <c r="CH2" s="101">
        <f>CG2/(Massenstromrechnung!$AA12*Konstanten!$K$3/3.6)+Massenstromrechnung!$X$3</f>
        <v>11.875193403166449</v>
      </c>
      <c r="CI2" s="103" t="str">
        <f>IF(OR(Massenstromrechnung!$Y$6&lt;(CH2*50+Massenstromrechnung!$X$3)/51,(Massenstromrechnung!$Y$6-(CH2*51+Massenstromrechnung!$X$3)/51)&lt;0.7),"trocken","feucht")</f>
        <v>feucht</v>
      </c>
      <c r="CJ2" s="104">
        <f>(Massenstromrechnung!$X$4-(Massenstromrechnung!$X$3+CH2)/2)^Konstanten!$E$7*$AK2*$AL2^Konstanten!$F$7*(CH2-Massenstromrechnung!$X$3)^Konstanten!$G$7*((Massenstromrechnung!$X$3+CH2)/2)^Konstanten!$H$7*(Konstanten!$C$7-(CH2-Massenstromrechnung!$X$3)^Konstanten!$I$7*Konstanten!$D$7)</f>
        <v>748.38802408998242</v>
      </c>
      <c r="CK2" s="104">
        <f>IF(CI2="trocken",CJ2,IF(Konstanten!$A$18*(Massenstromrechnung!$Y$6^Konstanten!$B$18*(Massenstromrechnung!$X$4-(Iteration!CH2+Massenstromrechnung!$X$3)/2)^Konstanten!$C$18*CJ2^Konstanten!$D$18*((Massenstromrechnung!$X$3+Iteration!CH2)/2)^Konstanten!$E$18+(Iteration!CH2-Massenstromrechnung!$X$3)^Konstanten!$F$18)&lt;1,CJ2,CJ2*Konstanten!$A$18*(Massenstromrechnung!$Y$6^Konstanten!$B$18*(Massenstromrechnung!$X$4-(Iteration!CH2+Massenstromrechnung!$X$3)/2)^Konstanten!$C$18*CJ2^Konstanten!$D$18*((Massenstromrechnung!$X$3+Iteration!CH2)/2)^Konstanten!$E$18+(Iteration!CH2-Massenstromrechnung!$X$3)^Konstanten!$F$18)))</f>
        <v>1026.7714610760984</v>
      </c>
      <c r="CL2" s="101">
        <f>CK2/(Massenstromrechnung!$AA12*Konstanten!$K$3/3.6)+Massenstromrechnung!$X$3</f>
        <v>12.052995726584539</v>
      </c>
      <c r="CM2" s="103" t="str">
        <f>IF(OR(Massenstromrechnung!$Y$6&lt;(CL2*50+Massenstromrechnung!$X$3)/51,(Massenstromrechnung!$Y$6-(CL2*51+Massenstromrechnung!$X$3)/51)&lt;0.7),"trocken","feucht")</f>
        <v>feucht</v>
      </c>
      <c r="CN2" s="104">
        <f>(Massenstromrechnung!$X$4-(Massenstromrechnung!$X$3+CL2)/2)^Konstanten!$E$7*$AK2*$AL2^Konstanten!$F$7*(CL2-Massenstromrechnung!$X$3)^Konstanten!$G$7*((Massenstromrechnung!$X$3+CL2)/2)^Konstanten!$H$7*(Konstanten!$C$7-(CL2-Massenstromrechnung!$X$3)^Konstanten!$I$7*Konstanten!$D$7)</f>
        <v>740.35786139086918</v>
      </c>
      <c r="CO2" s="104">
        <f>IF(CM2="trocken",CN2,IF(Konstanten!$A$18*(Massenstromrechnung!$Y$6^Konstanten!$B$18*(Massenstromrechnung!$X$4-(Iteration!CL2+Massenstromrechnung!$X$3)/2)^Konstanten!$C$18*CN2^Konstanten!$D$18*((Massenstromrechnung!$X$3+Iteration!CL2)/2)^Konstanten!$E$18+(Iteration!CL2-Massenstromrechnung!$X$3)^Konstanten!$F$18)&lt;1,CN2,CN2*Konstanten!$A$18*(Massenstromrechnung!$Y$6^Konstanten!$B$18*(Massenstromrechnung!$X$4-(Iteration!CL2+Massenstromrechnung!$X$3)/2)^Konstanten!$C$18*CN2^Konstanten!$D$18*((Massenstromrechnung!$X$3+Iteration!CL2)/2)^Konstanten!$E$18+(Iteration!CL2-Massenstromrechnung!$X$3)^Konstanten!$F$18)))</f>
        <v>1011.5060399641972</v>
      </c>
      <c r="CP2" s="101">
        <f>IF(CO2/(Massenstromrechnung!$AA12*Konstanten!$K$3/3.6)+Massenstromrechnung!$X$3-Massenstromrechnung!$X$3&lt;1.4,"RLT zu niedrig",CO2/(Massenstromrechnung!$AA12*Konstanten!$K$3/3.6)+Massenstromrechnung!$X$3)</f>
        <v>11.977870822390077</v>
      </c>
      <c r="CQ2" s="103" t="str">
        <f>IF(CP2="RLT zu niedrig","RLT zu niedrig",IF(OR(Massenstromrechnung!$Y$6&lt;(CP2*50+Massenstromrechnung!$X$3)/51,(Massenstromrechnung!$Y$6-(CP2*51+Massenstromrechnung!$X$3)/51)&lt;0.7),"trocken","feucht"))</f>
        <v>feucht</v>
      </c>
      <c r="CR2" s="104">
        <f>IF(CP2="RLT zu niedrig","RLT zu niedrig",(Massenstromrechnung!$X$4-(Massenstromrechnung!$X$3+CP2)/2)^Konstanten!$E$7*$AK2*$AL2^Konstanten!$F$7*(CP2-Massenstromrechnung!$X$3)^Konstanten!$G$7*((Massenstromrechnung!$X$3+CP2)/2)^Konstanten!$H$7*(Konstanten!$C$7-(CP2-Massenstromrechnung!$X$3)^Konstanten!$I$7*Konstanten!$D$7))</f>
        <v>743.7237868612583</v>
      </c>
      <c r="CS2" s="104">
        <f>IF(CP2="RLT zu niedrig","RLT zu niedrig",IF(CQ2="trocken",CR2,IF(Konstanten!$A$18*(Massenstromrechnung!$Y$6^Konstanten!$B$18*(Massenstromrechnung!$X$4-(Iteration!CP2+Massenstromrechnung!$X$3)/2)^Konstanten!$C$18*CR2^Konstanten!$D$18*((Massenstromrechnung!$X$3+Iteration!CP2)/2)^Konstanten!$E$18+(Iteration!CP2-Massenstromrechnung!$X$3)^Konstanten!$F$18)&lt;1,CR2,CR2*Konstanten!$A$18*(Massenstromrechnung!$Y$6^Konstanten!$B$18*(Massenstromrechnung!$X$4-(Iteration!CP2+Massenstromrechnung!$X$3)/2)^Konstanten!$C$18*CR2^Konstanten!$D$18*((Massenstromrechnung!$X$3+Iteration!CP2)/2)^Konstanten!$E$18+(Iteration!CP2-Massenstromrechnung!$X$3)^Konstanten!$F$18))))</f>
        <v>1017.8935755219612</v>
      </c>
    </row>
    <row r="3" spans="1:97" x14ac:dyDescent="0.3">
      <c r="A3">
        <f>Massenstromrechnung!B13</f>
        <v>420</v>
      </c>
      <c r="B3" s="27">
        <v>985</v>
      </c>
      <c r="C3" s="103">
        <f>IF(Massenstromrechnung!$K$3-10&lt;=Massenstromrechnung!$K$4,Massenstromrechnung!$K$3-0.75*(Massenstromrechnung!$K$3-Massenstromrechnung!$K$4),Massenstromrechnung!$K$3-10)</f>
        <v>65</v>
      </c>
      <c r="D3" s="103">
        <f>-1*((Massenstromrechnung!$K$3+C3)/2-Massenstromrechnung!$K$4)^Konstanten!$E$4*Massenstromrechnung!$B13*Massenstromrechnung!$C13^Konstanten!$F$4*(Massenstromrechnung!$K$3-C3)^Konstanten!$G$4*((Massenstromrechnung!$K$3+C3)/2)^Konstanten!$H$4*(Konstanten!$C$4-((Massenstromrechnung!$K$3-C3)^Konstanten!$I$4*Konstanten!$D$4))/(Massenstromrechnung!$F13*Konstanten!$K$3/3.6)+Massenstromrechnung!$K$3</f>
        <v>65</v>
      </c>
      <c r="E3" s="103">
        <f t="shared" ref="E3:E31" si="6">D3</f>
        <v>65</v>
      </c>
      <c r="F3" s="103">
        <f>-1*((Massenstromrechnung!$K$3+E3)/2-Massenstromrechnung!$K$4)^Konstanten!$E$4*Massenstromrechnung!$B13*Massenstromrechnung!$C13^Konstanten!$F$4*(Massenstromrechnung!$K$3-E3)^Konstanten!$G$4*((Massenstromrechnung!$K$3+E3)/2)^Konstanten!$H$4*(Konstanten!$C$4-((Massenstromrechnung!$K$3-E3)^Konstanten!$I$4*Konstanten!$D$4))/(Massenstromrechnung!$F13*Konstanten!$K$3/3.6)+Massenstromrechnung!$K$3</f>
        <v>65</v>
      </c>
      <c r="G3" s="103">
        <f t="shared" si="0"/>
        <v>65</v>
      </c>
      <c r="H3" s="103">
        <f>-1*((Massenstromrechnung!$K$3+G3)/2-Massenstromrechnung!$K$4)^Konstanten!$E$4*Massenstromrechnung!$B13*Massenstromrechnung!$C13^Konstanten!$F$4*(Massenstromrechnung!$K$3-G3)^Konstanten!$G$4*((Massenstromrechnung!$K$3+G3)/2)^Konstanten!$H$4*(Konstanten!$C$4-((Massenstromrechnung!$K$3-G3)^Konstanten!$I$4*Konstanten!$D$4))/(Massenstromrechnung!$F13*Konstanten!$K$3/3.6)+Massenstromrechnung!$K$3</f>
        <v>65</v>
      </c>
      <c r="I3" s="103">
        <f t="shared" si="1"/>
        <v>65</v>
      </c>
      <c r="J3" s="103">
        <f>-1*((Massenstromrechnung!$K$3+I3)/2-Massenstromrechnung!$K$4)^Konstanten!$E$4*Massenstromrechnung!$B13*Massenstromrechnung!$C13^Konstanten!$F$4*(Massenstromrechnung!$K$3-I3)^Konstanten!$G$4*((Massenstromrechnung!$K$3+I3)/2)^Konstanten!$H$4*(Konstanten!$C$4-((Massenstromrechnung!$K$3-I3)^Konstanten!$I$4*Konstanten!$D$4))/(Massenstromrechnung!$F13*Konstanten!$K$3/3.6)+Massenstromrechnung!$K$3</f>
        <v>65</v>
      </c>
      <c r="K3" s="103">
        <f t="shared" si="2"/>
        <v>65</v>
      </c>
      <c r="L3" s="103">
        <f>-1*((Massenstromrechnung!$K$3+K3)/2-Massenstromrechnung!$K$4)^Konstanten!$E$4*Massenstromrechnung!$B13*Massenstromrechnung!$C13^Konstanten!$F$4*(Massenstromrechnung!$K$3-K3)^Konstanten!$G$4*((Massenstromrechnung!$K$3+K3)/2)^Konstanten!$H$4*(Konstanten!$C$4-((Massenstromrechnung!$K$3-K3)^Konstanten!$I$4*Konstanten!$D$4))/(Massenstromrechnung!$F13*Konstanten!$K$3/3.6)+Massenstromrechnung!$K$3</f>
        <v>65</v>
      </c>
      <c r="N3">
        <f>'Katalogdaten M3G045'!B17</f>
        <v>420</v>
      </c>
      <c r="O3" s="27">
        <v>985</v>
      </c>
      <c r="P3" s="103">
        <f>IF(Massenstromrechnung!$K$3-10&lt;=Massenstromrechnung!$K$4,Massenstromrechnung!$K$3-0.75*(Massenstromrechnung!$K$3-Massenstromrechnung!$K$4),Massenstromrechnung!$K$3-10)</f>
        <v>65</v>
      </c>
      <c r="Q3" s="103" t="e">
        <f>-1*((Massenstromrechnung!$K$3+P3)/2-Massenstromrechnung!$K$4)^Konstanten!$E$4*Massenstromrechnung!$B13*Massenstromrechnung!$C13^Konstanten!$F$4*(Massenstromrechnung!$K$3-P3)^Konstanten!$G$4*((Massenstromrechnung!$K$3+P3)/2)^Konstanten!$H$4*(Konstanten!$C$4-((Massenstromrechnung!$K$3-P3)^Konstanten!$I$4*Konstanten!$D$4))/(Massenstromrechnung!#REF!*Konstanten!$K$3/3.6)+Massenstromrechnung!$K$3</f>
        <v>#REF!</v>
      </c>
      <c r="R3" s="103" t="e">
        <f t="shared" ref="R3:R31" si="7">Q3</f>
        <v>#REF!</v>
      </c>
      <c r="S3" s="103" t="e">
        <f>-1*((Massenstromrechnung!$K$3+R3)/2-Massenstromrechnung!$K$4)^Konstanten!$E$4*Massenstromrechnung!$B13*Massenstromrechnung!$C13^Konstanten!$F$4*(Massenstromrechnung!$K$3-R3)^Konstanten!$G$4*((Massenstromrechnung!$K$3+R3)/2)^Konstanten!$H$4*(Konstanten!$C$4-((Massenstromrechnung!$K$3-R3)^Konstanten!$I$4*Konstanten!$D$4))/(Massenstromrechnung!#REF!*Konstanten!$K$3/3.6)+Massenstromrechnung!$K$3</f>
        <v>#REF!</v>
      </c>
      <c r="T3" s="103" t="e">
        <f t="shared" si="3"/>
        <v>#REF!</v>
      </c>
      <c r="U3" s="103" t="e">
        <f>-1*((Massenstromrechnung!$K$3+T3)/2-Massenstromrechnung!$K$4)^Konstanten!$E$4*Massenstromrechnung!$B13*Massenstromrechnung!$C13^Konstanten!$F$4*(Massenstromrechnung!$K$3-T3)^Konstanten!$G$4*((Massenstromrechnung!$K$3+T3)/2)^Konstanten!$H$4*(Konstanten!$C$4-((Massenstromrechnung!$K$3-T3)^Konstanten!$I$4*Konstanten!$D$4))/(Massenstromrechnung!#REF!*Konstanten!$K$3/3.6)+Massenstromrechnung!$K$3</f>
        <v>#REF!</v>
      </c>
      <c r="V3" s="103" t="e">
        <f t="shared" si="4"/>
        <v>#REF!</v>
      </c>
      <c r="W3" s="103" t="e">
        <f>-1*((Massenstromrechnung!$K$3+V3)/2-Massenstromrechnung!$K$4)^Konstanten!$E$4*Massenstromrechnung!$B13*Massenstromrechnung!$C13^Konstanten!$F$4*(Massenstromrechnung!$K$3-V3)^Konstanten!$G$4*((Massenstromrechnung!$K$3+V3)/2)^Konstanten!$H$4*(Konstanten!$C$4-((Massenstromrechnung!$K$3-V3)^Konstanten!$I$4*Konstanten!$D$4))/(Massenstromrechnung!#REF!*Konstanten!$K$3/3.6)+Massenstromrechnung!$K$3</f>
        <v>#REF!</v>
      </c>
      <c r="X3" s="103" t="e">
        <f t="shared" si="5"/>
        <v>#REF!</v>
      </c>
      <c r="Y3" s="103" t="e">
        <f>-1*((Massenstromrechnung!$K$3+X3)/2-Massenstromrechnung!$K$4)^Konstanten!$E$4*Massenstromrechnung!$B13*Massenstromrechnung!$C13^Konstanten!$F$4*(Massenstromrechnung!$K$3-X3)^Konstanten!$G$4*((Massenstromrechnung!$K$3+X3)/2)^Konstanten!$H$4*(Konstanten!$C$4-((Massenstromrechnung!$K$3-X3)^Konstanten!$I$4*Konstanten!$D$4))/(Massenstromrechnung!#REF!*Konstanten!$K$3/3.6)+Massenstromrechnung!$K$3</f>
        <v>#REF!</v>
      </c>
      <c r="AA3">
        <f t="shared" ref="AA3:AB31" si="8">N3</f>
        <v>420</v>
      </c>
      <c r="AB3">
        <f t="shared" si="8"/>
        <v>985</v>
      </c>
      <c r="AC3" s="103">
        <f>IF(Massenstromrechnung!$K$3-10&lt;=Massenstromrechnung!$K$4,Massenstromrechnung!$K$3-0.75*(Massenstromrechnung!$K$3-Massenstromrechnung!$K$4),Massenstromrechnung!$K$3-10)</f>
        <v>65</v>
      </c>
      <c r="AD3" s="103">
        <f>-1*((Massenstromrechnung!$K$3+AC3)/2-Massenstromrechnung!$K$4)^Konstanten!$E$5*$AA3*$AB3^Konstanten!$F$5*(Massenstromrechnung!$K$3-AC3)^Konstanten!$G$5*((Massenstromrechnung!$K$3+AC3)/2)^Konstanten!$H$5*(Konstanten!$C$5-((Massenstromrechnung!$K$3-AC3)^Konstanten!$I$5*Konstanten!$D$5))/(Massenstromrechnung!$L13*Konstanten!$K$3/3.6)+Massenstromrechnung!$K$3</f>
        <v>65</v>
      </c>
      <c r="AE3" s="103">
        <f>-1*((Massenstromrechnung!$K$3+AD3)/2-Massenstromrechnung!$K$4)^Konstanten!$E$5*$AA3*$AB3^Konstanten!$F$5*(Massenstromrechnung!$K$3-AD3)^Konstanten!$G$5*((Massenstromrechnung!$K$3+AD3)/2)^Konstanten!$H$5*(Konstanten!$C$5-((Massenstromrechnung!$K$3-AD3)^Konstanten!$I$5*Konstanten!$D$5))/(Massenstromrechnung!$L13*Konstanten!$K$3/3.6)+Massenstromrechnung!$K$3</f>
        <v>65</v>
      </c>
      <c r="AF3" s="103">
        <f>-1*((Massenstromrechnung!$K$3+AE3)/2-Massenstromrechnung!$K$4)^Konstanten!$E$5*$AA3*$AB3^Konstanten!$F$5*(Massenstromrechnung!$K$3-AE3)^Konstanten!$G$5*((Massenstromrechnung!$K$3+AE3)/2)^Konstanten!$H$5*(Konstanten!$C$5-((Massenstromrechnung!$K$3-AE3)^Konstanten!$I$5*Konstanten!$D$5))/(Massenstromrechnung!$L13*Konstanten!$K$3/3.6)+Massenstromrechnung!$K$3</f>
        <v>65</v>
      </c>
      <c r="AG3" s="103">
        <f>-1*((Massenstromrechnung!$K$3+AF3)/2-Massenstromrechnung!$K$4)^Konstanten!$E$5*$AA3*$AB3^Konstanten!$F$5*(Massenstromrechnung!$K$3-AF3)^Konstanten!$G$5*((Massenstromrechnung!$K$3+AF3)/2)^Konstanten!$H$5*(Konstanten!$C$5-((Massenstromrechnung!$K$3-AF3)^Konstanten!$I$5*Konstanten!$D$5))/(Massenstromrechnung!$L13*Konstanten!$K$3/3.6)+Massenstromrechnung!$K$3</f>
        <v>65</v>
      </c>
      <c r="AH3" s="103">
        <f>-1*((Massenstromrechnung!$K$3+AG3)/2-Massenstromrechnung!$K$4)^Konstanten!$E$5*$AA3*$AB3^Konstanten!$F$5*(Massenstromrechnung!$K$3-AG3)^Konstanten!$G$5*((Massenstromrechnung!$K$3+AG3)/2)^Konstanten!$H$5*(Konstanten!$C$5-((Massenstromrechnung!$K$3-AG3)^Konstanten!$I$5*Konstanten!$D$5))/(Massenstromrechnung!$L13*Konstanten!$K$3/3.6)+Massenstromrechnung!$K$3</f>
        <v>65</v>
      </c>
      <c r="AI3" s="103">
        <f>-1*((Massenstromrechnung!$K$3+AH3)/2-Massenstromrechnung!$K$4)^Konstanten!$E$5*$AA3*$AB3^Konstanten!$F$5*(Massenstromrechnung!$K$3-AH3)^Konstanten!$G$5*((Massenstromrechnung!$K$3+AH3)/2)^Konstanten!$H$5*(Konstanten!$C$5-((Massenstromrechnung!$K$3-AH3)^Konstanten!$I$5*Konstanten!$D$5))/(Massenstromrechnung!$L13*Konstanten!$K$3/3.6)+Massenstromrechnung!$K$3</f>
        <v>65</v>
      </c>
      <c r="AK3">
        <f t="shared" ref="AK3:AL31" si="9">AA3</f>
        <v>420</v>
      </c>
      <c r="AL3">
        <f t="shared" si="9"/>
        <v>985</v>
      </c>
      <c r="AM3" s="103">
        <f>Massenstromrechnung!$X$3+2</f>
        <v>9</v>
      </c>
      <c r="AN3" s="103" t="str">
        <f>IF(OR(Massenstromrechnung!$Y$6&lt;(AM3*50+Massenstromrechnung!$X$3)/51,(Massenstromrechnung!$Y$6-(AM3*51+Massenstromrechnung!$X$3)/51)&lt;0.7),"trocken","feucht")</f>
        <v>feucht</v>
      </c>
      <c r="AO3" s="104">
        <f>(Massenstromrechnung!$X$4-(Massenstromrechnung!$X$3+AM3)/2)^Konstanten!$E$6*$AK3*$AL3^Konstanten!$F$6*(AM3-Massenstromrechnung!$X$3)^Konstanten!$G$6*((Massenstromrechnung!$X$3+AM3)/2)^Konstanten!$H$6*(Konstanten!$C$6-(AM3-Massenstromrechnung!$X$3)^Konstanten!$I$6*Konstanten!$D$6)</f>
        <v>644.04019398598939</v>
      </c>
      <c r="AP3" s="104">
        <f>IF(AN3="trocken",AO3,IF(Konstanten!$A$18*(Massenstromrechnung!$Y$6^Konstanten!$B$18*(Massenstromrechnung!$X$4-(Iteration!AM3+Massenstromrechnung!$X$3)/2)^Konstanten!$C$18*AO3^Konstanten!$D$18*((Massenstromrechnung!$X$3+Iteration!AM3)/2)^Konstanten!$E$18+(Iteration!AM3-Massenstromrechnung!$X$3)^Konstanten!$F$18)&lt;1,AO3,AO3*Konstanten!$A$18*(Massenstromrechnung!$Y$6^Konstanten!$B$18*(Massenstromrechnung!$X$4-(Iteration!AM3+Massenstromrechnung!$X$3)/2)^Konstanten!$C$18*AO3^Konstanten!$D$18*((Massenstromrechnung!$X$3+Iteration!AM3)/2)^Konstanten!$E$18+(Iteration!AM3-Massenstromrechnung!$X$3)^Konstanten!$F$18)))</f>
        <v>976.53029619317078</v>
      </c>
      <c r="AQ3" s="101">
        <f>AP3/(Massenstromrechnung!$R13*Konstanten!$K$3/3.6)+Massenstromrechnung!$X$3</f>
        <v>13.214103458682761</v>
      </c>
      <c r="AR3" s="103" t="str">
        <f>IF(OR(Massenstromrechnung!$Y$6&lt;(AQ3*50+Massenstromrechnung!$X$3)/51,(Massenstromrechnung!$Y$6-(AQ3*51+Massenstromrechnung!$X$3)/51)&lt;0.7),"trocken","feucht")</f>
        <v>feucht</v>
      </c>
      <c r="AS3" s="104">
        <f>(Massenstromrechnung!$X$4-(Massenstromrechnung!$X$3+AQ3)/2)^Konstanten!$E$6*$AK3*$AL3^Konstanten!$F$6*(AQ3-Massenstromrechnung!$X$3)^Konstanten!$G$6*((Massenstromrechnung!$X$3+AQ3)/2)^Konstanten!$H$6*(Konstanten!$C$6-(AQ3-Massenstromrechnung!$X$3)^Konstanten!$I$6*Konstanten!$D$6)</f>
        <v>538.18019235715565</v>
      </c>
      <c r="AT3" s="104">
        <f>IF(AR3="trocken",AS3,IF(Konstanten!$A$18*(Massenstromrechnung!$Y$6^Konstanten!$B$18*(Massenstromrechnung!$X$4-(Iteration!AQ3+Massenstromrechnung!$X$3)/2)^Konstanten!$C$18*AS3^Konstanten!$D$18*((Massenstromrechnung!$X$3+Iteration!AQ3)/2)^Konstanten!$E$18+(Iteration!AQ3-Massenstromrechnung!$X$3)^Konstanten!$F$18)&lt;1,AS3,AS3*Konstanten!$A$18*(Massenstromrechnung!$Y$6^Konstanten!$B$18*(Massenstromrechnung!$X$4-(Iteration!AQ3+Massenstromrechnung!$X$3)/2)^Konstanten!$C$18*AS3^Konstanten!$D$18*((Massenstromrechnung!$X$3+Iteration!AQ3)/2)^Konstanten!$E$18+(Iteration!AQ3-Massenstromrechnung!$X$3)^Konstanten!$F$18)))</f>
        <v>722.40672904586972</v>
      </c>
      <c r="AU3" s="101">
        <f>AT3/(Massenstromrechnung!$R13*Konstanten!$K$3/3.6)+Massenstromrechnung!$X$3</f>
        <v>11.597000391119083</v>
      </c>
      <c r="AV3" s="103" t="str">
        <f>IF(OR(Massenstromrechnung!$Y$6&lt;(AU3*50+Massenstromrechnung!$X$3)/51,(Massenstromrechnung!$Y$6-(AU3*51+Massenstromrechnung!$X$3)/51)&lt;0.7),"trocken","feucht")</f>
        <v>feucht</v>
      </c>
      <c r="AW3" s="104">
        <f>(Massenstromrechnung!$X$4-(Massenstromrechnung!$X$3+AU3)/2)^Konstanten!$E$6*$AK3*$AL3^Konstanten!$F$6*(AU3-Massenstromrechnung!$X$3)^Konstanten!$G$6*((Massenstromrechnung!$X$3+AU3)/2)^Konstanten!$H$6*(Konstanten!$C$6-(AU3-Massenstromrechnung!$X$3)^Konstanten!$I$6*Konstanten!$D$6)</f>
        <v>580.85933141025248</v>
      </c>
      <c r="AX3" s="104">
        <f>IF(AV3="trocken",AW3,IF(Konstanten!$A$18*(Massenstromrechnung!$Y$6^Konstanten!$B$18*(Massenstromrechnung!$X$4-(Iteration!AU3+Massenstromrechnung!$X$3)/2)^Konstanten!$C$18*AW3^Konstanten!$D$18*((Massenstromrechnung!$X$3+Iteration!AU3)/2)^Konstanten!$E$18+(Iteration!AU3-Massenstromrechnung!$X$3)^Konstanten!$F$18)&lt;1,AW3,AW3*Konstanten!$A$18*(Massenstromrechnung!$Y$6^Konstanten!$B$18*(Massenstromrechnung!$X$4-(Iteration!AU3+Massenstromrechnung!$X$3)/2)^Konstanten!$C$18*AW3^Konstanten!$D$18*((Massenstromrechnung!$X$3+Iteration!AU3)/2)^Konstanten!$E$18+(Iteration!AU3-Massenstromrechnung!$X$3)^Konstanten!$F$18)))</f>
        <v>808.81507057115073</v>
      </c>
      <c r="AY3" s="101">
        <f>AX3/(Massenstromrechnung!$R13*Konstanten!$K$3/3.6)+Massenstromrechnung!$X$3</f>
        <v>12.146855706437506</v>
      </c>
      <c r="AZ3" s="103" t="str">
        <f>IF(OR(Massenstromrechnung!$Y$6&lt;(AY3*50+Massenstromrechnung!$X$3)/51,(Massenstromrechnung!$Y$6-(AY3*51+Massenstromrechnung!$X$3)/51)&lt;0.7),"trocken","feucht")</f>
        <v>feucht</v>
      </c>
      <c r="BA3" s="104">
        <f>(Massenstromrechnung!$X$4-(Massenstromrechnung!$X$3+AY3)/2)^Konstanten!$E$6*$AK3*$AL3^Konstanten!$F$6*(AY3-Massenstromrechnung!$X$3)^Konstanten!$G$6*((Massenstromrechnung!$X$3+AY3)/2)^Konstanten!$H$6*(Konstanten!$C$6-(AY3-Massenstromrechnung!$X$3)^Konstanten!$I$6*Konstanten!$D$6)</f>
        <v>565.93278266217499</v>
      </c>
      <c r="BB3" s="104">
        <f>IF(AZ3="trocken",BA3,IF(Konstanten!$A$18*(Massenstromrechnung!$Y$6^Konstanten!$B$18*(Massenstromrechnung!$X$4-(Iteration!AY3+Massenstromrechnung!$X$3)/2)^Konstanten!$C$18*BA3^Konstanten!$D$18*((Massenstromrechnung!$X$3+Iteration!AY3)/2)^Konstanten!$E$18+(Iteration!AY3-Massenstromrechnung!$X$3)^Konstanten!$F$18)&lt;1,BA3,BA3*Konstanten!$A$18*(Massenstromrechnung!$Y$6^Konstanten!$B$18*(Massenstromrechnung!$X$4-(Iteration!AY3+Massenstromrechnung!$X$3)/2)^Konstanten!$C$18*BA3^Konstanten!$D$18*((Massenstromrechnung!$X$3+Iteration!AY3)/2)^Konstanten!$E$18+(Iteration!AY3-Massenstromrechnung!$X$3)^Konstanten!$F$18)))</f>
        <v>777.59449760498546</v>
      </c>
      <c r="BC3" s="101">
        <f>BB3/(Massenstromrechnung!$R13*Konstanten!$K$3/3.6)+Massenstromrechnung!$X$3</f>
        <v>11.948185095594802</v>
      </c>
      <c r="BD3" s="103" t="str">
        <f>IF(OR(Massenstromrechnung!$Y$6&lt;(BC3*50+Massenstromrechnung!$X$3)/51,(Massenstromrechnung!$Y$6-(BC3*51+Massenstromrechnung!$X$3)/51)&lt;0.7),"trocken","feucht")</f>
        <v>feucht</v>
      </c>
      <c r="BE3" s="104">
        <f>(Massenstromrechnung!$X$4-(Massenstromrechnung!$X$3+BC3)/2)^Konstanten!$E$6*$AK3*$AL3^Konstanten!$F$6*(BC3-Massenstromrechnung!$X$3)^Konstanten!$G$6*((Massenstromrechnung!$X$3+BC3)/2)^Konstanten!$H$6*(Konstanten!$C$6-(BC3-Massenstromrechnung!$X$3)^Konstanten!$I$6*Konstanten!$D$6)</f>
        <v>571.28192908607593</v>
      </c>
      <c r="BF3" s="104">
        <f>IF(BD3="trocken",BE3,IF(Konstanten!$A$18*(Massenstromrechnung!$Y$6^Konstanten!$B$18*(Massenstromrechnung!$X$4-(Iteration!BC3+Massenstromrechnung!$X$3)/2)^Konstanten!$C$18*BE3^Konstanten!$D$18*((Massenstromrechnung!$X$3+Iteration!BC3)/2)^Konstanten!$E$18+(Iteration!BC3-Massenstromrechnung!$X$3)^Konstanten!$F$18)&lt;1,BE3,BE3*Konstanten!$A$18*(Massenstromrechnung!$Y$6^Konstanten!$B$18*(Massenstromrechnung!$X$4-(Iteration!BC3+Massenstromrechnung!$X$3)/2)^Konstanten!$C$18*BE3^Konstanten!$D$18*((Massenstromrechnung!$X$3+Iteration!BC3)/2)^Konstanten!$E$18+(Iteration!BC3-Massenstromrechnung!$X$3)^Konstanten!$F$18)))</f>
        <v>788.6436279409279</v>
      </c>
      <c r="BG3" s="101">
        <f>BF3/(Massenstromrechnung!$R13*Konstanten!$K$3/3.6)+Massenstromrechnung!$X$3</f>
        <v>12.018495703779388</v>
      </c>
      <c r="BH3" s="103" t="str">
        <f>IF(OR(Massenstromrechnung!$Y$6&lt;(BG3*50+Massenstromrechnung!$X$3)/51,(Massenstromrechnung!$Y$6-(BG3*51+Massenstromrechnung!$X$3)/51)&lt;0.7),"trocken","feucht")</f>
        <v>feucht</v>
      </c>
      <c r="BI3" s="104">
        <f>(Massenstromrechnung!$X$4-(Massenstromrechnung!$X$3+BG3)/2)^Konstanten!$E$6*$AK3*$AL3^Konstanten!$F$6*(BG3-Massenstromrechnung!$X$3)^Konstanten!$G$6*((Massenstromrechnung!$X$3+BG3)/2)^Konstanten!$H$6*(Konstanten!$C$6-(BG3-Massenstromrechnung!$X$3)^Konstanten!$I$6*Konstanten!$D$6)</f>
        <v>569.38277006705505</v>
      </c>
      <c r="BJ3" s="104">
        <f>IF(BH3="trocken",BI3,IF(Konstanten!$A$18*(Massenstromrechnung!$Y$6^Konstanten!$B$18*(Massenstromrechnung!$X$4-(Iteration!BG3+Massenstromrechnung!$X$3)/2)^Konstanten!$C$18*BI3^Konstanten!$D$18*((Massenstromrechnung!$X$3+Iteration!BG3)/2)^Konstanten!$E$18+(Iteration!BG3-Massenstromrechnung!$X$3)^Konstanten!$F$18)&lt;1,BI3,BI3*Konstanten!$A$18*(Massenstromrechnung!$Y$6^Konstanten!$B$18*(Massenstromrechnung!$X$4-(Iteration!BG3+Massenstromrechnung!$X$3)/2)^Konstanten!$C$18*BI3^Konstanten!$D$18*((Massenstromrechnung!$X$3+Iteration!BG3)/2)^Konstanten!$E$18+(Iteration!BG3-Massenstromrechnung!$X$3)^Konstanten!$F$18)))</f>
        <v>784.7038303587882</v>
      </c>
      <c r="BK3" s="101">
        <f>IF(BJ3/(Massenstromrechnung!$R13*Konstanten!$K$3/3.6)+Massenstromrechnung!$X$3-Massenstromrechnung!$X$3&lt;1.4,"RLT zu niedrig",BJ3/(Massenstromrechnung!$R13*Konstanten!$K$3/3.6)+Massenstromrechnung!$X$3)</f>
        <v>11.993424991813642</v>
      </c>
      <c r="BL3" s="103" t="str">
        <f>IF(BK3="RLT zu niedrig","RLT zu niedrig",IF(OR(Massenstromrechnung!$Y$6&lt;(BK3*50+Massenstromrechnung!$X$3)/51,(Massenstromrechnung!$Y$6-(BK3*51+Massenstromrechnung!$X$3)/51)&lt;0.7),"trocken","feucht"))</f>
        <v>feucht</v>
      </c>
      <c r="BM3" s="104">
        <f>IF(BK3="RLT zu niedrig","RLT zu niedrig",(Massenstromrechnung!$X$4-(Massenstromrechnung!$X$3+BK3)/2)^Konstanten!$E$6*$AK3*$AL3^Konstanten!$F$6*(BK3-Massenstromrechnung!$X$3)^Konstanten!$G$6*((Massenstromrechnung!$X$3+BK3)/2)^Konstanten!$H$6*(Konstanten!$C$6-(BK3-Massenstromrechnung!$X$3)^Konstanten!$I$6*Konstanten!$D$6))</f>
        <v>570.05920638525231</v>
      </c>
      <c r="BN3" s="104">
        <f>IF(BK3="RLT zu niedrig","RLT zu niedrig",IF(BL3="trocken",BM3,IF(Konstanten!$A$18*(Massenstromrechnung!$Y$6^Konstanten!$B$18*(Massenstromrechnung!$X$4-(Iteration!BK3+Massenstromrechnung!$X$3)/2)^Konstanten!$C$18*BM3^Konstanten!$D$18*((Massenstromrechnung!$X$3+Iteration!BK3)/2)^Konstanten!$E$18+(Iteration!BK3-Massenstromrechnung!$X$3)^Konstanten!$F$18)&lt;1,BM3,BM3*Konstanten!$A$18*(Massenstromrechnung!$Y$6^Konstanten!$B$18*(Massenstromrechnung!$X$4-(Iteration!BK3+Massenstromrechnung!$X$3)/2)^Konstanten!$C$18*BM3^Konstanten!$D$18*((Massenstromrechnung!$X$3+Iteration!BK3)/2)^Konstanten!$E$18+(Iteration!BK3-Massenstromrechnung!$X$3)^Konstanten!$F$18))))</f>
        <v>786.10492287780835</v>
      </c>
      <c r="BO3" s="101"/>
      <c r="BP3">
        <f t="shared" ref="BP3:BQ31" si="10">AK3</f>
        <v>420</v>
      </c>
      <c r="BQ3">
        <f t="shared" si="10"/>
        <v>985</v>
      </c>
      <c r="BR3" s="103">
        <f>Massenstromrechnung!$X$3+2</f>
        <v>9</v>
      </c>
      <c r="BS3" s="103" t="str">
        <f>IF(OR(Massenstromrechnung!$Y$6&lt;(BR3*50+Massenstromrechnung!$X$3)/51,(Massenstromrechnung!$Y$6-(BR3*51+Massenstromrechnung!$X$3)/51)&lt;0.7),"trocken","feucht")</f>
        <v>feucht</v>
      </c>
      <c r="BT3" s="104">
        <f>(Massenstromrechnung!$X$4-(Massenstromrechnung!$X$3+BR3)/2)^Konstanten!$E$7*$AK3*$AL3^Konstanten!$F$7*(BR3-Massenstromrechnung!$X$3)^Konstanten!$G$7*((Massenstromrechnung!$X$3+BR3)/2)^Konstanten!$H$7*(Konstanten!$C$7-(BR3-Massenstromrechnung!$X$3)^Konstanten!$I$7*Konstanten!$D$7)</f>
        <v>698.71228722456897</v>
      </c>
      <c r="BU3" s="104">
        <f>IF(BS3="trocken",BT3,IF(Konstanten!$A$18*(Massenstromrechnung!$Y$6^Konstanten!$B$18*(Massenstromrechnung!$X$4-(Iteration!BR3+Massenstromrechnung!$X$3)/2)^Konstanten!$C$18*BT3^Konstanten!$D$18*((Massenstromrechnung!$X$3+Iteration!BR3)/2)^Konstanten!$E$18+(Iteration!BR3-Massenstromrechnung!$X$3)^Konstanten!$F$18)&lt;1,BT3,BT3*Konstanten!$A$18*(Massenstromrechnung!$Y$6^Konstanten!$B$18*(Massenstromrechnung!$X$4-(Iteration!BR3+Massenstromrechnung!$X$3)/2)^Konstanten!$C$18*BT3^Konstanten!$D$18*((Massenstromrechnung!$X$3+Iteration!BR3)/2)^Konstanten!$E$18+(Iteration!BR3-Massenstromrechnung!$X$3)^Konstanten!$F$18)))</f>
        <v>1056.9287601773653</v>
      </c>
      <c r="BV3" s="101">
        <f>BU3/(Massenstromrechnung!$AA13*Konstanten!$K$3/3.6)+Massenstromrechnung!$X$3</f>
        <v>13.891500416198337</v>
      </c>
      <c r="BW3" s="103" t="str">
        <f>IF(OR(Massenstromrechnung!$Y$6&lt;(BV3*50+Massenstromrechnung!$X$3)/51,(Massenstromrechnung!$Y$6-(BV3*51+Massenstromrechnung!$X$3)/51)&lt;0.7),"trocken","feucht")</f>
        <v>feucht</v>
      </c>
      <c r="BX3" s="104">
        <f>(Massenstromrechnung!$X$4-(Massenstromrechnung!$X$3+BV3)/2)^Konstanten!$E$7*$AK3*$AL3^Konstanten!$F$7*(BV3-Massenstromrechnung!$X$3)^Konstanten!$G$7*((Massenstromrechnung!$X$3+BV3)/2)^Konstanten!$H$7*(Konstanten!$C$7-(BV3-Massenstromrechnung!$X$3)^Konstanten!$I$7*Konstanten!$D$7)</f>
        <v>499.55332525034947</v>
      </c>
      <c r="BY3" s="104">
        <f>IF(BW3="trocken",BX3,IF(Konstanten!$A$18*(Massenstromrechnung!$Y$6^Konstanten!$B$18*(Massenstromrechnung!$X$4-(Iteration!BV3+Massenstromrechnung!$X$3)/2)^Konstanten!$C$18*BX3^Konstanten!$D$18*((Massenstromrechnung!$X$3+Iteration!BV3)/2)^Konstanten!$E$18+(Iteration!BV3-Massenstromrechnung!$X$3)^Konstanten!$F$18)&lt;1,BX3,BX3*Konstanten!$A$18*(Massenstromrechnung!$Y$6^Konstanten!$B$18*(Massenstromrechnung!$X$4-(Iteration!BV3+Massenstromrechnung!$X$3)/2)^Konstanten!$C$18*BX3^Konstanten!$D$18*((Massenstromrechnung!$X$3+Iteration!BV3)/2)^Konstanten!$E$18+(Iteration!BV3-Massenstromrechnung!$X$3)^Konstanten!$F$18)))</f>
        <v>662.5101265490232</v>
      </c>
      <c r="BZ3" s="101">
        <f>BY3/(Massenstromrechnung!$AA13*Konstanten!$K$3/3.6)+Massenstromrechnung!$X$3</f>
        <v>11.319769680675572</v>
      </c>
      <c r="CA3" s="103" t="str">
        <f>IF(OR(Massenstromrechnung!$Y$6&lt;(BZ3*50+Massenstromrechnung!$X$3)/51,(Massenstromrechnung!$Y$6-(BZ3*51+Massenstromrechnung!$X$3)/51)&lt;0.7),"trocken","feucht")</f>
        <v>feucht</v>
      </c>
      <c r="CB3" s="104">
        <f>(Massenstromrechnung!$X$4-(Massenstromrechnung!$X$3+BZ3)/2)^Konstanten!$E$7*$AK3*$AL3^Konstanten!$F$7*(BZ3-Massenstromrechnung!$X$3)^Konstanten!$G$7*((Massenstromrechnung!$X$3+BZ3)/2)^Konstanten!$H$7*(Konstanten!$C$7-(BZ3-Massenstromrechnung!$X$3)^Konstanten!$I$7*Konstanten!$D$7)</f>
        <v>579.93628680068525</v>
      </c>
      <c r="CC3" s="104">
        <f>IF(CA3="trocken",CB3,IF(Konstanten!$A$18*(Massenstromrechnung!$Y$6^Konstanten!$B$18*(Massenstromrechnung!$X$4-(Iteration!BZ3+Massenstromrechnung!$X$3)/2)^Konstanten!$C$18*CB3^Konstanten!$D$18*((Massenstromrechnung!$X$3+Iteration!BZ3)/2)^Konstanten!$E$18+(Iteration!BZ3-Massenstromrechnung!$X$3)^Konstanten!$F$18)&lt;1,CB3,CB3*Konstanten!$A$18*(Massenstromrechnung!$Y$6^Konstanten!$B$18*(Massenstromrechnung!$X$4-(Iteration!BZ3+Massenstromrechnung!$X$3)/2)^Konstanten!$C$18*CB3^Konstanten!$D$18*((Massenstromrechnung!$X$3+Iteration!BZ3)/2)^Konstanten!$E$18+(Iteration!BZ3-Massenstromrechnung!$X$3)^Konstanten!$F$18)))</f>
        <v>813.66060116256995</v>
      </c>
      <c r="CD3" s="101">
        <f>CC3/(Massenstromrechnung!$AA13*Konstanten!$K$3/3.6)+Massenstromrechnung!$X$3</f>
        <v>12.30531723880336</v>
      </c>
      <c r="CE3" s="103" t="str">
        <f>IF(OR(Massenstromrechnung!$Y$6&lt;(CD3*50+Massenstromrechnung!$X$3)/51,(Massenstromrechnung!$Y$6-(CD3*51+Massenstromrechnung!$X$3)/51)&lt;0.7),"trocken","feucht")</f>
        <v>feucht</v>
      </c>
      <c r="CF3" s="104">
        <f>(Massenstromrechnung!$X$4-(Massenstromrechnung!$X$3+CD3)/2)^Konstanten!$E$7*$AK3*$AL3^Konstanten!$F$7*(CD3-Massenstromrechnung!$X$3)^Konstanten!$G$7*((Massenstromrechnung!$X$3+CD3)/2)^Konstanten!$H$7*(Konstanten!$C$7-(CD3-Massenstromrechnung!$X$3)^Konstanten!$I$7*Konstanten!$D$7)</f>
        <v>545.7275193765837</v>
      </c>
      <c r="CG3" s="104">
        <f>IF(CE3="trocken",CF3,IF(Konstanten!$A$18*(Massenstromrechnung!$Y$6^Konstanten!$B$18*(Massenstromrechnung!$X$4-(Iteration!CD3+Massenstromrechnung!$X$3)/2)^Konstanten!$C$18*CF3^Konstanten!$D$18*((Massenstromrechnung!$X$3+Iteration!CD3)/2)^Konstanten!$E$18+(Iteration!CD3-Massenstromrechnung!$X$3)^Konstanten!$F$18)&lt;1,CF3,CF3*Konstanten!$A$18*(Massenstromrechnung!$Y$6^Konstanten!$B$18*(Massenstromrechnung!$X$4-(Iteration!CD3+Massenstromrechnung!$X$3)/2)^Konstanten!$C$18*CF3^Konstanten!$D$18*((Massenstromrechnung!$X$3+Iteration!CD3)/2)^Konstanten!$E$18+(Iteration!CD3-Massenstromrechnung!$X$3)^Konstanten!$F$18)))</f>
        <v>747.7341123464364</v>
      </c>
      <c r="CH3" s="101">
        <f>CG3/(Massenstromrechnung!$AA13*Konstanten!$K$3/3.6)+Massenstromrechnung!$X$3</f>
        <v>11.875456265923185</v>
      </c>
      <c r="CI3" s="103" t="str">
        <f>IF(OR(Massenstromrechnung!$Y$6&lt;(CH3*50+Massenstromrechnung!$X$3)/51,(Massenstromrechnung!$Y$6-(CH3*51+Massenstromrechnung!$X$3)/51)&lt;0.7),"trocken","feucht")</f>
        <v>feucht</v>
      </c>
      <c r="CJ3" s="104">
        <f>(Massenstromrechnung!$X$4-(Massenstromrechnung!$X$3+CH3)/2)^Konstanten!$E$7*$AK3*$AL3^Konstanten!$F$7*(CH3-Massenstromrechnung!$X$3)^Konstanten!$G$7*((Massenstromrechnung!$X$3+CH3)/2)^Konstanten!$H$7*(Konstanten!$C$7-(CH3-Massenstromrechnung!$X$3)^Konstanten!$I$7*Konstanten!$D$7)</f>
        <v>559.98254802458234</v>
      </c>
      <c r="CK3" s="104">
        <f>IF(CI3="trocken",CJ3,IF(Konstanten!$A$18*(Massenstromrechnung!$Y$6^Konstanten!$B$18*(Massenstromrechnung!$X$4-(Iteration!CH3+Massenstromrechnung!$X$3)/2)^Konstanten!$C$18*CJ3^Konstanten!$D$18*((Massenstromrechnung!$X$3+Iteration!CH3)/2)^Konstanten!$E$18+(Iteration!CH3-Massenstromrechnung!$X$3)^Konstanten!$F$18)&lt;1,CJ3,CJ3*Konstanten!$A$18*(Massenstromrechnung!$Y$6^Konstanten!$B$18*(Massenstromrechnung!$X$4-(Iteration!CH3+Massenstromrechnung!$X$3)/2)^Konstanten!$C$18*CJ3^Konstanten!$D$18*((Massenstromrechnung!$X$3+Iteration!CH3)/2)^Konstanten!$E$18+(Iteration!CH3-Massenstromrechnung!$X$3)^Konstanten!$F$18)))</f>
        <v>774.94165553153755</v>
      </c>
      <c r="CL3" s="101">
        <f>CK3/(Massenstromrechnung!$AA13*Konstanten!$K$3/3.6)+Massenstromrechnung!$X$3</f>
        <v>12.052857811087302</v>
      </c>
      <c r="CM3" s="103" t="str">
        <f>IF(OR(Massenstromrechnung!$Y$6&lt;(CL3*50+Massenstromrechnung!$X$3)/51,(Massenstromrechnung!$Y$6-(CL3*51+Massenstromrechnung!$X$3)/51)&lt;0.7),"trocken","feucht")</f>
        <v>feucht</v>
      </c>
      <c r="CN3" s="104">
        <f>(Massenstromrechnung!$X$4-(Massenstromrechnung!$X$3+CL3)/2)^Konstanten!$E$7*$AK3*$AL3^Konstanten!$F$7*(CL3-Massenstromrechnung!$X$3)^Konstanten!$G$7*((Massenstromrechnung!$X$3+CL3)/2)^Konstanten!$H$7*(Konstanten!$C$7-(CL3-Massenstromrechnung!$X$3)^Konstanten!$I$7*Konstanten!$D$7)</f>
        <v>553.98747355985938</v>
      </c>
      <c r="CO3" s="104">
        <f>IF(CM3="trocken",CN3,IF(Konstanten!$A$18*(Massenstromrechnung!$Y$6^Konstanten!$B$18*(Massenstromrechnung!$X$4-(Iteration!CL3+Massenstromrechnung!$X$3)/2)^Konstanten!$C$18*CN3^Konstanten!$D$18*((Massenstromrechnung!$X$3+Iteration!CL3)/2)^Konstanten!$E$18+(Iteration!CL3-Massenstromrechnung!$X$3)^Konstanten!$F$18)&lt;1,CN3,CN3*Konstanten!$A$18*(Massenstromrechnung!$Y$6^Konstanten!$B$18*(Massenstromrechnung!$X$4-(Iteration!CL3+Massenstromrechnung!$X$3)/2)^Konstanten!$C$18*CN3^Konstanten!$D$18*((Massenstromrechnung!$X$3+Iteration!CL3)/2)^Konstanten!$E$18+(Iteration!CL3-Massenstromrechnung!$X$3)^Konstanten!$F$18)))</f>
        <v>763.45147015649172</v>
      </c>
      <c r="CP3" s="101">
        <f>IF(CO3/(Massenstromrechnung!$AA13*Konstanten!$K$3/3.6)+Massenstromrechnung!$X$3-Massenstromrechnung!$X$3&lt;1.4,"RLT zu niedrig",CO3/(Massenstromrechnung!$AA13*Konstanten!$K$3/3.6)+Massenstromrechnung!$X$3)</f>
        <v>11.97793827035966</v>
      </c>
      <c r="CQ3" s="103" t="str">
        <f>IF(CP3="RLT zu niedrig","RLT zu niedrig",IF(OR(Massenstromrechnung!$Y$6&lt;(CP3*50+Massenstromrechnung!$X$3)/51,(Massenstromrechnung!$Y$6-(CP3*51+Massenstromrechnung!$X$3)/51)&lt;0.7),"trocken","feucht"))</f>
        <v>feucht</v>
      </c>
      <c r="CR3" s="104">
        <f>IF(CP3="RLT zu niedrig","RLT zu niedrig",(Massenstromrechnung!$X$4-(Massenstromrechnung!$X$3+CP3)/2)^Konstanten!$E$7*$AK3*$AL3^Konstanten!$F$7*(CP3-Massenstromrechnung!$X$3)^Konstanten!$G$7*((Massenstromrechnung!$X$3+CP3)/2)^Konstanten!$H$7*(Konstanten!$C$7-(CP3-Massenstromrechnung!$X$3)^Konstanten!$I$7*Konstanten!$D$7))</f>
        <v>556.4992016694282</v>
      </c>
      <c r="CS3" s="104">
        <f>IF(CP3="RLT zu niedrig","RLT zu niedrig",IF(CQ3="trocken",CR3,IF(Konstanten!$A$18*(Massenstromrechnung!$Y$6^Konstanten!$B$18*(Massenstromrechnung!$X$4-(Iteration!CP3+Massenstromrechnung!$X$3)/2)^Konstanten!$C$18*CR3^Konstanten!$D$18*((Massenstromrechnung!$X$3+Iteration!CP3)/2)^Konstanten!$E$18+(Iteration!CP3-Massenstromrechnung!$X$3)^Konstanten!$F$18)&lt;1,CR3,CR3*Konstanten!$A$18*(Massenstromrechnung!$Y$6^Konstanten!$B$18*(Massenstromrechnung!$X$4-(Iteration!CP3+Massenstromrechnung!$X$3)/2)^Konstanten!$C$18*CR3^Konstanten!$D$18*((Massenstromrechnung!$X$3+Iteration!CP3)/2)^Konstanten!$E$18+(Iteration!CP3-Massenstromrechnung!$X$3)^Konstanten!$F$18))))</f>
        <v>768.25714206872431</v>
      </c>
    </row>
    <row r="4" spans="1:97" x14ac:dyDescent="0.3">
      <c r="A4">
        <f>Massenstromrechnung!B14</f>
        <v>420</v>
      </c>
      <c r="B4" s="27">
        <v>735</v>
      </c>
      <c r="C4" s="103">
        <f>IF(Massenstromrechnung!$K$3-10&lt;=Massenstromrechnung!$K$4,Massenstromrechnung!$K$3-0.75*(Massenstromrechnung!$K$3-Massenstromrechnung!$K$4),Massenstromrechnung!$K$3-10)</f>
        <v>65</v>
      </c>
      <c r="D4" s="103">
        <f>-1*((Massenstromrechnung!$K$3+C4)/2-Massenstromrechnung!$K$4)^Konstanten!$E$4*Massenstromrechnung!$B14*Massenstromrechnung!$C14^Konstanten!$F$4*(Massenstromrechnung!$K$3-C4)^Konstanten!$G$4*((Massenstromrechnung!$K$3+C4)/2)^Konstanten!$H$4*(Konstanten!$C$4-((Massenstromrechnung!$K$3-C4)^Konstanten!$I$4*Konstanten!$D$4))/(Massenstromrechnung!$F14*Konstanten!$K$3/3.6)+Massenstromrechnung!$K$3</f>
        <v>65</v>
      </c>
      <c r="E4" s="103">
        <f t="shared" si="6"/>
        <v>65</v>
      </c>
      <c r="F4" s="103">
        <f>-1*((Massenstromrechnung!$K$3+E4)/2-Massenstromrechnung!$K$4)^Konstanten!$E$4*Massenstromrechnung!$B14*Massenstromrechnung!$C14^Konstanten!$F$4*(Massenstromrechnung!$K$3-E4)^Konstanten!$G$4*((Massenstromrechnung!$K$3+E4)/2)^Konstanten!$H$4*(Konstanten!$C$4-((Massenstromrechnung!$K$3-E4)^Konstanten!$I$4*Konstanten!$D$4))/(Massenstromrechnung!$F14*Konstanten!$K$3/3.6)+Massenstromrechnung!$K$3</f>
        <v>65</v>
      </c>
      <c r="G4" s="103">
        <f t="shared" si="0"/>
        <v>65</v>
      </c>
      <c r="H4" s="103">
        <f>-1*((Massenstromrechnung!$K$3+G4)/2-Massenstromrechnung!$K$4)^Konstanten!$E$4*Massenstromrechnung!$B14*Massenstromrechnung!$C14^Konstanten!$F$4*(Massenstromrechnung!$K$3-G4)^Konstanten!$G$4*((Massenstromrechnung!$K$3+G4)/2)^Konstanten!$H$4*(Konstanten!$C$4-((Massenstromrechnung!$K$3-G4)^Konstanten!$I$4*Konstanten!$D$4))/(Massenstromrechnung!$F14*Konstanten!$K$3/3.6)+Massenstromrechnung!$K$3</f>
        <v>65</v>
      </c>
      <c r="I4" s="103">
        <f t="shared" si="1"/>
        <v>65</v>
      </c>
      <c r="J4" s="103">
        <f>-1*((Massenstromrechnung!$K$3+I4)/2-Massenstromrechnung!$K$4)^Konstanten!$E$4*Massenstromrechnung!$B14*Massenstromrechnung!$C14^Konstanten!$F$4*(Massenstromrechnung!$K$3-I4)^Konstanten!$G$4*((Massenstromrechnung!$K$3+I4)/2)^Konstanten!$H$4*(Konstanten!$C$4-((Massenstromrechnung!$K$3-I4)^Konstanten!$I$4*Konstanten!$D$4))/(Massenstromrechnung!$F14*Konstanten!$K$3/3.6)+Massenstromrechnung!$K$3</f>
        <v>65</v>
      </c>
      <c r="K4" s="103">
        <f t="shared" si="2"/>
        <v>65</v>
      </c>
      <c r="L4" s="103">
        <f>-1*((Massenstromrechnung!$K$3+K4)/2-Massenstromrechnung!$K$4)^Konstanten!$E$4*Massenstromrechnung!$B14*Massenstromrechnung!$C14^Konstanten!$F$4*(Massenstromrechnung!$K$3-K4)^Konstanten!$G$4*((Massenstromrechnung!$K$3+K4)/2)^Konstanten!$H$4*(Konstanten!$C$4-((Massenstromrechnung!$K$3-K4)^Konstanten!$I$4*Konstanten!$D$4))/(Massenstromrechnung!$F14*Konstanten!$K$3/3.6)+Massenstromrechnung!$K$3</f>
        <v>65</v>
      </c>
      <c r="N4">
        <f>'Katalogdaten M3G045'!B18</f>
        <v>420</v>
      </c>
      <c r="O4" s="27">
        <v>735</v>
      </c>
      <c r="P4" s="103">
        <f>IF(Massenstromrechnung!$K$3-10&lt;=Massenstromrechnung!$K$4,Massenstromrechnung!$K$3-0.75*(Massenstromrechnung!$K$3-Massenstromrechnung!$K$4),Massenstromrechnung!$K$3-10)</f>
        <v>65</v>
      </c>
      <c r="Q4" s="103" t="e">
        <f>-1*((Massenstromrechnung!$K$3+P4)/2-Massenstromrechnung!$K$4)^Konstanten!$E$4*Massenstromrechnung!$B14*Massenstromrechnung!$C14^Konstanten!$F$4*(Massenstromrechnung!$K$3-P4)^Konstanten!$G$4*((Massenstromrechnung!$K$3+P4)/2)^Konstanten!$H$4*(Konstanten!$C$4-((Massenstromrechnung!$K$3-P4)^Konstanten!$I$4*Konstanten!$D$4))/(Massenstromrechnung!#REF!*Konstanten!$K$3/3.6)+Massenstromrechnung!$K$3</f>
        <v>#REF!</v>
      </c>
      <c r="R4" s="103" t="e">
        <f t="shared" si="7"/>
        <v>#REF!</v>
      </c>
      <c r="S4" s="103" t="e">
        <f>-1*((Massenstromrechnung!$K$3+R4)/2-Massenstromrechnung!$K$4)^Konstanten!$E$4*Massenstromrechnung!$B14*Massenstromrechnung!$C14^Konstanten!$F$4*(Massenstromrechnung!$K$3-R4)^Konstanten!$G$4*((Massenstromrechnung!$K$3+R4)/2)^Konstanten!$H$4*(Konstanten!$C$4-((Massenstromrechnung!$K$3-R4)^Konstanten!$I$4*Konstanten!$D$4))/(Massenstromrechnung!#REF!*Konstanten!$K$3/3.6)+Massenstromrechnung!$K$3</f>
        <v>#REF!</v>
      </c>
      <c r="T4" s="103" t="e">
        <f t="shared" si="3"/>
        <v>#REF!</v>
      </c>
      <c r="U4" s="103" t="e">
        <f>-1*((Massenstromrechnung!$K$3+T4)/2-Massenstromrechnung!$K$4)^Konstanten!$E$4*Massenstromrechnung!$B14*Massenstromrechnung!$C14^Konstanten!$F$4*(Massenstromrechnung!$K$3-T4)^Konstanten!$G$4*((Massenstromrechnung!$K$3+T4)/2)^Konstanten!$H$4*(Konstanten!$C$4-((Massenstromrechnung!$K$3-T4)^Konstanten!$I$4*Konstanten!$D$4))/(Massenstromrechnung!#REF!*Konstanten!$K$3/3.6)+Massenstromrechnung!$K$3</f>
        <v>#REF!</v>
      </c>
      <c r="V4" s="103" t="e">
        <f t="shared" si="4"/>
        <v>#REF!</v>
      </c>
      <c r="W4" s="103" t="e">
        <f>-1*((Massenstromrechnung!$K$3+V4)/2-Massenstromrechnung!$K$4)^Konstanten!$E$4*Massenstromrechnung!$B14*Massenstromrechnung!$C14^Konstanten!$F$4*(Massenstromrechnung!$K$3-V4)^Konstanten!$G$4*((Massenstromrechnung!$K$3+V4)/2)^Konstanten!$H$4*(Konstanten!$C$4-((Massenstromrechnung!$K$3-V4)^Konstanten!$I$4*Konstanten!$D$4))/(Massenstromrechnung!#REF!*Konstanten!$K$3/3.6)+Massenstromrechnung!$K$3</f>
        <v>#REF!</v>
      </c>
      <c r="X4" s="103" t="e">
        <f t="shared" si="5"/>
        <v>#REF!</v>
      </c>
      <c r="Y4" s="103" t="e">
        <f>-1*((Massenstromrechnung!$K$3+X4)/2-Massenstromrechnung!$K$4)^Konstanten!$E$4*Massenstromrechnung!$B14*Massenstromrechnung!$C14^Konstanten!$F$4*(Massenstromrechnung!$K$3-X4)^Konstanten!$G$4*((Massenstromrechnung!$K$3+X4)/2)^Konstanten!$H$4*(Konstanten!$C$4-((Massenstromrechnung!$K$3-X4)^Konstanten!$I$4*Konstanten!$D$4))/(Massenstromrechnung!#REF!*Konstanten!$K$3/3.6)+Massenstromrechnung!$K$3</f>
        <v>#REF!</v>
      </c>
      <c r="AA4">
        <f t="shared" si="8"/>
        <v>420</v>
      </c>
      <c r="AB4">
        <f t="shared" si="8"/>
        <v>735</v>
      </c>
      <c r="AC4" s="103">
        <f>IF(Massenstromrechnung!$K$3-10&lt;=Massenstromrechnung!$K$4,Massenstromrechnung!$K$3-0.75*(Massenstromrechnung!$K$3-Massenstromrechnung!$K$4),Massenstromrechnung!$K$3-10)</f>
        <v>65</v>
      </c>
      <c r="AD4" s="103">
        <f>-1*((Massenstromrechnung!$K$3+AC4)/2-Massenstromrechnung!$K$4)^Konstanten!$E$5*$AA4*$AB4^Konstanten!$F$5*(Massenstromrechnung!$K$3-AC4)^Konstanten!$G$5*((Massenstromrechnung!$K$3+AC4)/2)^Konstanten!$H$5*(Konstanten!$C$5-((Massenstromrechnung!$K$3-AC4)^Konstanten!$I$5*Konstanten!$D$5))/(Massenstromrechnung!$L14*Konstanten!$K$3/3.6)+Massenstromrechnung!$K$3</f>
        <v>65</v>
      </c>
      <c r="AE4" s="103">
        <f>-1*((Massenstromrechnung!$K$3+AD4)/2-Massenstromrechnung!$K$4)^Konstanten!$E$5*$AA4*$AB4^Konstanten!$F$5*(Massenstromrechnung!$K$3-AD4)^Konstanten!$G$5*((Massenstromrechnung!$K$3+AD4)/2)^Konstanten!$H$5*(Konstanten!$C$5-((Massenstromrechnung!$K$3-AD4)^Konstanten!$I$5*Konstanten!$D$5))/(Massenstromrechnung!$L14*Konstanten!$K$3/3.6)+Massenstromrechnung!$K$3</f>
        <v>65</v>
      </c>
      <c r="AF4" s="103">
        <f>-1*((Massenstromrechnung!$K$3+AE4)/2-Massenstromrechnung!$K$4)^Konstanten!$E$5*$AA4*$AB4^Konstanten!$F$5*(Massenstromrechnung!$K$3-AE4)^Konstanten!$G$5*((Massenstromrechnung!$K$3+AE4)/2)^Konstanten!$H$5*(Konstanten!$C$5-((Massenstromrechnung!$K$3-AE4)^Konstanten!$I$5*Konstanten!$D$5))/(Massenstromrechnung!$L14*Konstanten!$K$3/3.6)+Massenstromrechnung!$K$3</f>
        <v>65</v>
      </c>
      <c r="AG4" s="103">
        <f>-1*((Massenstromrechnung!$K$3+AF4)/2-Massenstromrechnung!$K$4)^Konstanten!$E$5*$AA4*$AB4^Konstanten!$F$5*(Massenstromrechnung!$K$3-AF4)^Konstanten!$G$5*((Massenstromrechnung!$K$3+AF4)/2)^Konstanten!$H$5*(Konstanten!$C$5-((Massenstromrechnung!$K$3-AF4)^Konstanten!$I$5*Konstanten!$D$5))/(Massenstromrechnung!$L14*Konstanten!$K$3/3.6)+Massenstromrechnung!$K$3</f>
        <v>65</v>
      </c>
      <c r="AH4" s="103">
        <f>-1*((Massenstromrechnung!$K$3+AG4)/2-Massenstromrechnung!$K$4)^Konstanten!$E$5*$AA4*$AB4^Konstanten!$F$5*(Massenstromrechnung!$K$3-AG4)^Konstanten!$G$5*((Massenstromrechnung!$K$3+AG4)/2)^Konstanten!$H$5*(Konstanten!$C$5-((Massenstromrechnung!$K$3-AG4)^Konstanten!$I$5*Konstanten!$D$5))/(Massenstromrechnung!$L14*Konstanten!$K$3/3.6)+Massenstromrechnung!$K$3</f>
        <v>65</v>
      </c>
      <c r="AI4" s="103">
        <f>-1*((Massenstromrechnung!$K$3+AH4)/2-Massenstromrechnung!$K$4)^Konstanten!$E$5*$AA4*$AB4^Konstanten!$F$5*(Massenstromrechnung!$K$3-AH4)^Konstanten!$G$5*((Massenstromrechnung!$K$3+AH4)/2)^Konstanten!$H$5*(Konstanten!$C$5-((Massenstromrechnung!$K$3-AH4)^Konstanten!$I$5*Konstanten!$D$5))/(Massenstromrechnung!$L14*Konstanten!$K$3/3.6)+Massenstromrechnung!$K$3</f>
        <v>65</v>
      </c>
      <c r="AK4">
        <f t="shared" si="9"/>
        <v>420</v>
      </c>
      <c r="AL4">
        <f t="shared" si="9"/>
        <v>735</v>
      </c>
      <c r="AM4" s="103">
        <f>Massenstromrechnung!$X$3+2</f>
        <v>9</v>
      </c>
      <c r="AN4" s="103" t="str">
        <f>IF(OR(Massenstromrechnung!$Y$6&lt;(AM4*50+Massenstromrechnung!$X$3)/51,(Massenstromrechnung!$Y$6-(AM4*51+Massenstromrechnung!$X$3)/51)&lt;0.7),"trocken","feucht")</f>
        <v>feucht</v>
      </c>
      <c r="AO4" s="104">
        <f>(Massenstromrechnung!$X$4-(Massenstromrechnung!$X$3+AM4)/2)^Konstanten!$E$6*$AK4*$AL4^Konstanten!$F$6*(AM4-Massenstromrechnung!$X$3)^Konstanten!$G$6*((Massenstromrechnung!$X$3+AM4)/2)^Konstanten!$H$6*(Konstanten!$C$6-(AM4-Massenstromrechnung!$X$3)^Konstanten!$I$6*Konstanten!$D$6)</f>
        <v>419.79271517292756</v>
      </c>
      <c r="AP4" s="104">
        <f>IF(AN4="trocken",AO4,IF(Konstanten!$A$18*(Massenstromrechnung!$Y$6^Konstanten!$B$18*(Massenstromrechnung!$X$4-(Iteration!AM4+Massenstromrechnung!$X$3)/2)^Konstanten!$C$18*AO4^Konstanten!$D$18*((Massenstromrechnung!$X$3+Iteration!AM4)/2)^Konstanten!$E$18+(Iteration!AM4-Massenstromrechnung!$X$3)^Konstanten!$F$18)&lt;1,AO4,AO4*Konstanten!$A$18*(Massenstromrechnung!$Y$6^Konstanten!$B$18*(Massenstromrechnung!$X$4-(Iteration!AM4+Massenstromrechnung!$X$3)/2)^Konstanten!$C$18*AO4^Konstanten!$D$18*((Massenstromrechnung!$X$3+Iteration!AM4)/2)^Konstanten!$E$18+(Iteration!AM4-Massenstromrechnung!$X$3)^Konstanten!$F$18)))</f>
        <v>644.46139997402599</v>
      </c>
      <c r="AQ4" s="101">
        <f>AP4/(Massenstromrechnung!$R14*Konstanten!$K$3/3.6)+Massenstromrechnung!$X$3</f>
        <v>13.211942199933095</v>
      </c>
      <c r="AR4" s="103" t="str">
        <f>IF(OR(Massenstromrechnung!$Y$6&lt;(AQ4*50+Massenstromrechnung!$X$3)/51,(Massenstromrechnung!$Y$6-(AQ4*51+Massenstromrechnung!$X$3)/51)&lt;0.7),"trocken","feucht")</f>
        <v>feucht</v>
      </c>
      <c r="AS4" s="104">
        <f>(Massenstromrechnung!$X$4-(Massenstromrechnung!$X$3+AQ4)/2)^Konstanten!$E$6*$AK4*$AL4^Konstanten!$F$6*(AQ4-Massenstromrechnung!$X$3)^Konstanten!$G$6*((Massenstromrechnung!$X$3+AQ4)/2)^Konstanten!$H$6*(Konstanten!$C$6-(AQ4-Massenstromrechnung!$X$3)^Konstanten!$I$6*Konstanten!$D$6)</f>
        <v>350.82746462186907</v>
      </c>
      <c r="AT4" s="104">
        <f>IF(AR4="trocken",AS4,IF(Konstanten!$A$18*(Massenstromrechnung!$Y$6^Konstanten!$B$18*(Massenstromrechnung!$X$4-(Iteration!AQ4+Massenstromrechnung!$X$3)/2)^Konstanten!$C$18*AS4^Konstanten!$D$18*((Massenstromrechnung!$X$3+Iteration!AQ4)/2)^Konstanten!$E$18+(Iteration!AQ4-Massenstromrechnung!$X$3)^Konstanten!$F$18)&lt;1,AS4,AS4*Konstanten!$A$18*(Massenstromrechnung!$Y$6^Konstanten!$B$18*(Massenstromrechnung!$X$4-(Iteration!AQ4+Massenstromrechnung!$X$3)/2)^Konstanten!$C$18*AS4^Konstanten!$D$18*((Massenstromrechnung!$X$3+Iteration!AQ4)/2)^Konstanten!$E$18+(Iteration!AQ4-Massenstromrechnung!$X$3)^Konstanten!$F$18)))</f>
        <v>477.01521201482655</v>
      </c>
      <c r="AU4" s="101">
        <f>AT4/(Massenstromrechnung!$R14*Konstanten!$K$3/3.6)+Massenstromrechnung!$X$3</f>
        <v>11.597933911393856</v>
      </c>
      <c r="AV4" s="103" t="str">
        <f>IF(OR(Massenstromrechnung!$Y$6&lt;(AU4*50+Massenstromrechnung!$X$3)/51,(Massenstromrechnung!$Y$6-(AU4*51+Massenstromrechnung!$X$3)/51)&lt;0.7),"trocken","feucht")</f>
        <v>feucht</v>
      </c>
      <c r="AW4" s="104">
        <f>(Massenstromrechnung!$X$4-(Massenstromrechnung!$X$3+AU4)/2)^Konstanten!$E$6*$AK4*$AL4^Konstanten!$F$6*(AU4-Massenstromrechnung!$X$3)^Konstanten!$G$6*((Massenstromrechnung!$X$3+AU4)/2)^Konstanten!$H$6*(Konstanten!$C$6-(AU4-Massenstromrechnung!$X$3)^Konstanten!$I$6*Konstanten!$D$6)</f>
        <v>378.59399617840569</v>
      </c>
      <c r="AX4" s="104">
        <f>IF(AV4="trocken",AW4,IF(Konstanten!$A$18*(Massenstromrechnung!$Y$6^Konstanten!$B$18*(Massenstromrechnung!$X$4-(Iteration!AU4+Massenstromrechnung!$X$3)/2)^Konstanten!$C$18*AW4^Konstanten!$D$18*((Massenstromrechnung!$X$3+Iteration!AU4)/2)^Konstanten!$E$18+(Iteration!AU4-Massenstromrechnung!$X$3)^Konstanten!$F$18)&lt;1,AW4,AW4*Konstanten!$A$18*(Massenstromrechnung!$Y$6^Konstanten!$B$18*(Massenstromrechnung!$X$4-(Iteration!AU4+Massenstromrechnung!$X$3)/2)^Konstanten!$C$18*AW4^Konstanten!$D$18*((Massenstromrechnung!$X$3+Iteration!AU4)/2)^Konstanten!$E$18+(Iteration!AU4-Massenstromrechnung!$X$3)^Konstanten!$F$18)))</f>
        <v>533.9142780434272</v>
      </c>
      <c r="AY4" s="101">
        <f>AX4/(Massenstromrechnung!$R14*Konstanten!$K$3/3.6)+Massenstromrechnung!$X$3</f>
        <v>12.146382134071102</v>
      </c>
      <c r="AZ4" s="103" t="str">
        <f>IF(OR(Massenstromrechnung!$Y$6&lt;(AY4*50+Massenstromrechnung!$X$3)/51,(Massenstromrechnung!$Y$6-(AY4*51+Massenstromrechnung!$X$3)/51)&lt;0.7),"trocken","feucht")</f>
        <v>feucht</v>
      </c>
      <c r="BA4" s="104">
        <f>(Massenstromrechnung!$X$4-(Massenstromrechnung!$X$3+AY4)/2)^Konstanten!$E$6*$AK4*$AL4^Konstanten!$F$6*(AY4-Massenstromrechnung!$X$3)^Konstanten!$G$6*((Massenstromrechnung!$X$3+AY4)/2)^Konstanten!$H$6*(Konstanten!$C$6-(AY4-Massenstromrechnung!$X$3)^Konstanten!$I$6*Konstanten!$D$6)</f>
        <v>368.88968651489176</v>
      </c>
      <c r="BB4" s="104">
        <f>IF(AZ4="trocken",BA4,IF(Konstanten!$A$18*(Massenstromrechnung!$Y$6^Konstanten!$B$18*(Massenstromrechnung!$X$4-(Iteration!AY4+Massenstromrechnung!$X$3)/2)^Konstanten!$C$18*BA4^Konstanten!$D$18*((Massenstromrechnung!$X$3+Iteration!AY4)/2)^Konstanten!$E$18+(Iteration!AY4-Massenstromrechnung!$X$3)^Konstanten!$F$18)&lt;1,BA4,BA4*Konstanten!$A$18*(Massenstromrechnung!$Y$6^Konstanten!$B$18*(Massenstromrechnung!$X$4-(Iteration!AY4+Massenstromrechnung!$X$3)/2)^Konstanten!$C$18*BA4^Konstanten!$D$18*((Massenstromrechnung!$X$3+Iteration!AY4)/2)^Konstanten!$E$18+(Iteration!AY4-Massenstromrechnung!$X$3)^Konstanten!$F$18)))</f>
        <v>513.37355978282824</v>
      </c>
      <c r="BC4" s="101">
        <f>BB4/(Massenstromrechnung!$R14*Konstanten!$K$3/3.6)+Massenstromrechnung!$X$3</f>
        <v>11.948390827555158</v>
      </c>
      <c r="BD4" s="103" t="str">
        <f>IF(OR(Massenstromrechnung!$Y$6&lt;(BC4*50+Massenstromrechnung!$X$3)/51,(Massenstromrechnung!$Y$6-(BC4*51+Massenstromrechnung!$X$3)/51)&lt;0.7),"trocken","feucht")</f>
        <v>feucht</v>
      </c>
      <c r="BE4" s="104">
        <f>(Massenstromrechnung!$X$4-(Massenstromrechnung!$X$3+BC4)/2)^Konstanten!$E$6*$AK4*$AL4^Konstanten!$F$6*(BC4-Massenstromrechnung!$X$3)^Konstanten!$G$6*((Massenstromrechnung!$X$3+BC4)/2)^Konstanten!$H$6*(Konstanten!$C$6-(BC4-Massenstromrechnung!$X$3)^Konstanten!$I$6*Konstanten!$D$6)</f>
        <v>372.3644232312007</v>
      </c>
      <c r="BF4" s="104">
        <f>IF(BD4="trocken",BE4,IF(Konstanten!$A$18*(Massenstromrechnung!$Y$6^Konstanten!$B$18*(Massenstromrechnung!$X$4-(Iteration!BC4+Massenstromrechnung!$X$3)/2)^Konstanten!$C$18*BE4^Konstanten!$D$18*((Massenstromrechnung!$X$3+Iteration!BC4)/2)^Konstanten!$E$18+(Iteration!BC4-Massenstromrechnung!$X$3)^Konstanten!$F$18)&lt;1,BE4,BE4*Konstanten!$A$18*(Massenstromrechnung!$Y$6^Konstanten!$B$18*(Massenstromrechnung!$X$4-(Iteration!BC4+Massenstromrechnung!$X$3)/2)^Konstanten!$C$18*BE4^Konstanten!$D$18*((Massenstromrechnung!$X$3+Iteration!BC4)/2)^Konstanten!$E$18+(Iteration!BC4-Massenstromrechnung!$X$3)^Konstanten!$F$18)))</f>
        <v>520.63745307033344</v>
      </c>
      <c r="BG4" s="101">
        <f>BF4/(Massenstromrechnung!$R14*Konstanten!$K$3/3.6)+Massenstromrechnung!$X$3</f>
        <v>12.018407255614751</v>
      </c>
      <c r="BH4" s="103" t="str">
        <f>IF(OR(Massenstromrechnung!$Y$6&lt;(BG4*50+Massenstromrechnung!$X$3)/51,(Massenstromrechnung!$Y$6-(BG4*51+Massenstromrechnung!$X$3)/51)&lt;0.7),"trocken","feucht")</f>
        <v>feucht</v>
      </c>
      <c r="BI4" s="104">
        <f>(Massenstromrechnung!$X$4-(Massenstromrechnung!$X$3+BG4)/2)^Konstanten!$E$6*$AK4*$AL4^Konstanten!$F$6*(BG4-Massenstromrechnung!$X$3)^Konstanten!$G$6*((Massenstromrechnung!$X$3+BG4)/2)^Konstanten!$H$6*(Konstanten!$C$6-(BG4-Massenstromrechnung!$X$3)^Konstanten!$I$6*Konstanten!$D$6)</f>
        <v>371.13171264817129</v>
      </c>
      <c r="BJ4" s="104">
        <f>IF(BH4="trocken",BI4,IF(Konstanten!$A$18*(Massenstromrechnung!$Y$6^Konstanten!$B$18*(Massenstromrechnung!$X$4-(Iteration!BG4+Massenstromrechnung!$X$3)/2)^Konstanten!$C$18*BI4^Konstanten!$D$18*((Massenstromrechnung!$X$3+Iteration!BG4)/2)^Konstanten!$E$18+(Iteration!BG4-Massenstromrechnung!$X$3)^Konstanten!$F$18)&lt;1,BI4,BI4*Konstanten!$A$18*(Massenstromrechnung!$Y$6^Konstanten!$B$18*(Massenstromrechnung!$X$4-(Iteration!BG4+Massenstromrechnung!$X$3)/2)^Konstanten!$C$18*BI4^Konstanten!$D$18*((Massenstromrechnung!$X$3+Iteration!BG4)/2)^Konstanten!$E$18+(Iteration!BG4-Massenstromrechnung!$X$3)^Konstanten!$F$18)))</f>
        <v>518.04945103947784</v>
      </c>
      <c r="BK4" s="101">
        <f>IF(BJ4/(Massenstromrechnung!$R14*Konstanten!$K$3/3.6)+Massenstromrechnung!$X$3-Massenstromrechnung!$X$3&lt;1.4,"RLT zu niedrig",BJ4/(Massenstromrechnung!$R14*Konstanten!$K$3/3.6)+Massenstromrechnung!$X$3)</f>
        <v>11.993461589311643</v>
      </c>
      <c r="BL4" s="103" t="str">
        <f>IF(BK4="RLT zu niedrig","RLT zu niedrig",IF(OR(Massenstromrechnung!$Y$6&lt;(BK4*50+Massenstromrechnung!$X$3)/51,(Massenstromrechnung!$Y$6-(BK4*51+Massenstromrechnung!$X$3)/51)&lt;0.7),"trocken","feucht"))</f>
        <v>feucht</v>
      </c>
      <c r="BM4" s="104">
        <f>IF(BK4="RLT zu niedrig","RLT zu niedrig",(Massenstromrechnung!$X$4-(Massenstromrechnung!$X$3+BK4)/2)^Konstanten!$E$6*$AK4*$AL4^Konstanten!$F$6*(BK4-Massenstromrechnung!$X$3)^Konstanten!$G$6*((Massenstromrechnung!$X$3+BK4)/2)^Konstanten!$H$6*(Konstanten!$C$6-(BK4-Massenstromrechnung!$X$3)^Konstanten!$I$6*Konstanten!$D$6))</f>
        <v>371.57042295826443</v>
      </c>
      <c r="BN4" s="104">
        <f>IF(BK4="RLT zu niedrig","RLT zu niedrig",IF(BL4="trocken",BM4,IF(Konstanten!$A$18*(Massenstromrechnung!$Y$6^Konstanten!$B$18*(Massenstromrechnung!$X$4-(Iteration!BK4+Massenstromrechnung!$X$3)/2)^Konstanten!$C$18*BM4^Konstanten!$D$18*((Massenstromrechnung!$X$3+Iteration!BK4)/2)^Konstanten!$E$18+(Iteration!BK4-Massenstromrechnung!$X$3)^Konstanten!$F$18)&lt;1,BM4,BM4*Konstanten!$A$18*(Massenstromrechnung!$Y$6^Konstanten!$B$18*(Massenstromrechnung!$X$4-(Iteration!BK4+Massenstromrechnung!$X$3)/2)^Konstanten!$C$18*BM4^Konstanten!$D$18*((Massenstromrechnung!$X$3+Iteration!BK4)/2)^Konstanten!$E$18+(Iteration!BK4-Massenstromrechnung!$X$3)^Konstanten!$F$18))))</f>
        <v>518.96908268765969</v>
      </c>
      <c r="BO4" s="101"/>
      <c r="BP4">
        <f t="shared" si="10"/>
        <v>420</v>
      </c>
      <c r="BQ4">
        <f t="shared" si="10"/>
        <v>735</v>
      </c>
      <c r="BR4" s="103">
        <f>Massenstromrechnung!$X$3+2</f>
        <v>9</v>
      </c>
      <c r="BS4" s="103" t="str">
        <f>IF(OR(Massenstromrechnung!$Y$6&lt;(BR4*50+Massenstromrechnung!$X$3)/51,(Massenstromrechnung!$Y$6-(BR4*51+Massenstromrechnung!$X$3)/51)&lt;0.7),"trocken","feucht")</f>
        <v>feucht</v>
      </c>
      <c r="BT4" s="104">
        <f>(Massenstromrechnung!$X$4-(Massenstromrechnung!$X$3+BR4)/2)^Konstanten!$E$7*$AK4*$AL4^Konstanten!$F$7*(BR4-Massenstromrechnung!$X$3)^Konstanten!$G$7*((Massenstromrechnung!$X$3+BR4)/2)^Konstanten!$H$7*(Konstanten!$C$7-(BR4-Massenstromrechnung!$X$3)^Konstanten!$I$7*Konstanten!$D$7)</f>
        <v>458.55307948637994</v>
      </c>
      <c r="BU4" s="104">
        <f>IF(BS4="trocken",BT4,IF(Konstanten!$A$18*(Massenstromrechnung!$Y$6^Konstanten!$B$18*(Massenstromrechnung!$X$4-(Iteration!BR4+Massenstromrechnung!$X$3)/2)^Konstanten!$C$18*BT4^Konstanten!$D$18*((Massenstromrechnung!$X$3+Iteration!BR4)/2)^Konstanten!$E$18+(Iteration!BR4-Massenstromrechnung!$X$3)^Konstanten!$F$18)&lt;1,BT4,BT4*Konstanten!$A$18*(Massenstromrechnung!$Y$6^Konstanten!$B$18*(Massenstromrechnung!$X$4-(Iteration!BR4+Massenstromrechnung!$X$3)/2)^Konstanten!$C$18*BT4^Konstanten!$D$18*((Massenstromrechnung!$X$3+Iteration!BR4)/2)^Konstanten!$E$18+(Iteration!BR4-Massenstromrechnung!$X$3)^Konstanten!$F$18)))</f>
        <v>702.16504152116954</v>
      </c>
      <c r="BV4" s="101">
        <f>BU4/(Massenstromrechnung!$AA14*Konstanten!$K$3/3.6)+Massenstromrechnung!$X$3</f>
        <v>13.889124978677405</v>
      </c>
      <c r="BW4" s="103" t="str">
        <f>IF(OR(Massenstromrechnung!$Y$6&lt;(BV4*50+Massenstromrechnung!$X$3)/51,(Massenstromrechnung!$Y$6-(BV4*51+Massenstromrechnung!$X$3)/51)&lt;0.7),"trocken","feucht")</f>
        <v>feucht</v>
      </c>
      <c r="BX4" s="104">
        <f>(Massenstromrechnung!$X$4-(Massenstromrechnung!$X$3+BV4)/2)^Konstanten!$E$7*$AK4*$AL4^Konstanten!$F$7*(BV4-Massenstromrechnung!$X$3)^Konstanten!$G$7*((Massenstromrechnung!$X$3+BV4)/2)^Konstanten!$H$7*(Konstanten!$C$7-(BV4-Massenstromrechnung!$X$3)^Konstanten!$I$7*Konstanten!$D$7)</f>
        <v>327.88988037170202</v>
      </c>
      <c r="BY4" s="104">
        <f>IF(BW4="trocken",BX4,IF(Konstanten!$A$18*(Massenstromrechnung!$Y$6^Konstanten!$B$18*(Massenstromrechnung!$X$4-(Iteration!BV4+Massenstromrechnung!$X$3)/2)^Konstanten!$C$18*BX4^Konstanten!$D$18*((Massenstromrechnung!$X$3+Iteration!BV4)/2)^Konstanten!$E$18+(Iteration!BV4-Massenstromrechnung!$X$3)^Konstanten!$F$18)&lt;1,BX4,BX4*Konstanten!$A$18*(Massenstromrechnung!$Y$6^Konstanten!$B$18*(Massenstromrechnung!$X$4-(Iteration!BV4+Massenstromrechnung!$X$3)/2)^Konstanten!$C$18*BX4^Konstanten!$D$18*((Massenstromrechnung!$X$3+Iteration!BV4)/2)^Konstanten!$E$18+(Iteration!BV4-Massenstromrechnung!$X$3)^Konstanten!$F$18)))</f>
        <v>440.39800819260324</v>
      </c>
      <c r="BZ4" s="101">
        <f>BY4/(Massenstromrechnung!$AA14*Konstanten!$K$3/3.6)+Massenstromrechnung!$X$3</f>
        <v>11.320860110361915</v>
      </c>
      <c r="CA4" s="103" t="str">
        <f>IF(OR(Massenstromrechnung!$Y$6&lt;(BZ4*50+Massenstromrechnung!$X$3)/51,(Massenstromrechnung!$Y$6-(BZ4*51+Massenstromrechnung!$X$3)/51)&lt;0.7),"trocken","feucht")</f>
        <v>feucht</v>
      </c>
      <c r="CB4" s="104">
        <f>(Massenstromrechnung!$X$4-(Massenstromrechnung!$X$3+BZ4)/2)^Konstanten!$E$7*$AK4*$AL4^Konstanten!$F$7*(BZ4-Massenstromrechnung!$X$3)^Konstanten!$G$7*((Massenstromrechnung!$X$3+BZ4)/2)^Konstanten!$H$7*(Konstanten!$C$7-(BZ4-Massenstromrechnung!$X$3)^Konstanten!$I$7*Konstanten!$D$7)</f>
        <v>380.575421627065</v>
      </c>
      <c r="CC4" s="104">
        <f>IF(CA4="trocken",CB4,IF(Konstanten!$A$18*(Massenstromrechnung!$Y$6^Konstanten!$B$18*(Massenstromrechnung!$X$4-(Iteration!BZ4+Massenstromrechnung!$X$3)/2)^Konstanten!$C$18*CB4^Konstanten!$D$18*((Massenstromrechnung!$X$3+Iteration!BZ4)/2)^Konstanten!$E$18+(Iteration!BZ4-Massenstromrechnung!$X$3)^Konstanten!$F$18)&lt;1,CB4,CB4*Konstanten!$A$18*(Massenstromrechnung!$Y$6^Konstanten!$B$18*(Massenstromrechnung!$X$4-(Iteration!BZ4+Massenstromrechnung!$X$3)/2)^Konstanten!$C$18*CB4^Konstanten!$D$18*((Massenstromrechnung!$X$3+Iteration!BZ4)/2)^Konstanten!$E$18+(Iteration!BZ4-Massenstromrechnung!$X$3)^Konstanten!$F$18)))</f>
        <v>540.66094505810213</v>
      </c>
      <c r="CD4" s="101">
        <f>CC4/(Massenstromrechnung!$AA14*Konstanten!$K$3/3.6)+Massenstromrechnung!$X$3</f>
        <v>12.304566022720184</v>
      </c>
      <c r="CE4" s="103" t="str">
        <f>IF(OR(Massenstromrechnung!$Y$6&lt;(CD4*50+Massenstromrechnung!$X$3)/51,(Massenstromrechnung!$Y$6-(CD4*51+Massenstromrechnung!$X$3)/51)&lt;0.7),"trocken","feucht")</f>
        <v>feucht</v>
      </c>
      <c r="CF4" s="104">
        <f>(Massenstromrechnung!$X$4-(Massenstromrechnung!$X$3+CD4)/2)^Konstanten!$E$7*$AK4*$AL4^Konstanten!$F$7*(CD4-Massenstromrechnung!$X$3)^Konstanten!$G$7*((Massenstromrechnung!$X$3+CD4)/2)^Konstanten!$H$7*(Konstanten!$C$7-(CD4-Massenstromrechnung!$X$3)^Konstanten!$I$7*Konstanten!$D$7)</f>
        <v>358.16759609779427</v>
      </c>
      <c r="CG4" s="104">
        <f>IF(CE4="trocken",CF4,IF(Konstanten!$A$18*(Massenstromrechnung!$Y$6^Konstanten!$B$18*(Massenstromrechnung!$X$4-(Iteration!CD4+Massenstromrechnung!$X$3)/2)^Konstanten!$C$18*CF4^Konstanten!$D$18*((Massenstromrechnung!$X$3+Iteration!CD4)/2)^Konstanten!$E$18+(Iteration!CD4-Massenstromrechnung!$X$3)^Konstanten!$F$18)&lt;1,CF4,CF4*Konstanten!$A$18*(Massenstromrechnung!$Y$6^Konstanten!$B$18*(Massenstromrechnung!$X$4-(Iteration!CD4+Massenstromrechnung!$X$3)/2)^Konstanten!$C$18*CF4^Konstanten!$D$18*((Massenstromrechnung!$X$3+Iteration!CD4)/2)^Konstanten!$E$18+(Iteration!CD4-Massenstromrechnung!$X$3)^Konstanten!$F$18)))</f>
        <v>496.96294420892741</v>
      </c>
      <c r="CH4" s="101">
        <f>CG4/(Massenstromrechnung!$AA14*Konstanten!$K$3/3.6)+Massenstromrechnung!$X$3</f>
        <v>11.87583350063942</v>
      </c>
      <c r="CI4" s="103" t="str">
        <f>IF(OR(Massenstromrechnung!$Y$6&lt;(CH4*50+Massenstromrechnung!$X$3)/51,(Massenstromrechnung!$Y$6-(CH4*51+Massenstromrechnung!$X$3)/51)&lt;0.7),"trocken","feucht")</f>
        <v>feucht</v>
      </c>
      <c r="CJ4" s="104">
        <f>(Massenstromrechnung!$X$4-(Massenstromrechnung!$X$3+CH4)/2)^Konstanten!$E$7*$AK4*$AL4^Konstanten!$F$7*(CH4-Massenstromrechnung!$X$3)^Konstanten!$G$7*((Massenstromrechnung!$X$3+CH4)/2)^Konstanten!$H$7*(Konstanten!$C$7-(CH4-Massenstromrechnung!$X$3)^Konstanten!$I$7*Konstanten!$D$7)</f>
        <v>367.49861072222876</v>
      </c>
      <c r="CK4" s="104">
        <f>IF(CI4="trocken",CJ4,IF(Konstanten!$A$18*(Massenstromrechnung!$Y$6^Konstanten!$B$18*(Massenstromrechnung!$X$4-(Iteration!CH4+Massenstromrechnung!$X$3)/2)^Konstanten!$C$18*CJ4^Konstanten!$D$18*((Massenstromrechnung!$X$3+Iteration!CH4)/2)^Konstanten!$E$18+(Iteration!CH4-Massenstromrechnung!$X$3)^Konstanten!$F$18)&lt;1,CJ4,CJ4*Konstanten!$A$18*(Massenstromrechnung!$Y$6^Konstanten!$B$18*(Massenstromrechnung!$X$4-(Iteration!CH4+Massenstromrechnung!$X$3)/2)^Konstanten!$C$18*CJ4^Konstanten!$D$18*((Massenstromrechnung!$X$3+Iteration!CH4)/2)^Konstanten!$E$18+(Iteration!CH4-Massenstromrechnung!$X$3)^Konstanten!$F$18)))</f>
        <v>514.98575621014129</v>
      </c>
      <c r="CL4" s="101">
        <f>CK4/(Massenstromrechnung!$AA14*Konstanten!$K$3/3.6)+Massenstromrechnung!$X$3</f>
        <v>12.052660025746089</v>
      </c>
      <c r="CM4" s="103" t="str">
        <f>IF(OR(Massenstromrechnung!$Y$6&lt;(CL4*50+Massenstromrechnung!$X$3)/51,(Massenstromrechnung!$Y$6-(CL4*51+Massenstromrechnung!$X$3)/51)&lt;0.7),"trocken","feucht")</f>
        <v>feucht</v>
      </c>
      <c r="CN4" s="104">
        <f>(Massenstromrechnung!$X$4-(Massenstromrechnung!$X$3+CL4)/2)^Konstanten!$E$7*$AK4*$AL4^Konstanten!$F$7*(CL4-Massenstromrechnung!$X$3)^Konstanten!$G$7*((Massenstromrechnung!$X$3+CL4)/2)^Konstanten!$H$7*(Konstanten!$C$7-(CL4-Massenstromrechnung!$X$3)^Konstanten!$I$7*Konstanten!$D$7)</f>
        <v>363.57695428846222</v>
      </c>
      <c r="CO4" s="104">
        <f>IF(CM4="trocken",CN4,IF(Konstanten!$A$18*(Massenstromrechnung!$Y$6^Konstanten!$B$18*(Massenstromrechnung!$X$4-(Iteration!CL4+Massenstromrechnung!$X$3)/2)^Konstanten!$C$18*CN4^Konstanten!$D$18*((Massenstromrechnung!$X$3+Iteration!CL4)/2)^Konstanten!$E$18+(Iteration!CL4-Massenstromrechnung!$X$3)^Konstanten!$F$18)&lt;1,CN4,CN4*Konstanten!$A$18*(Massenstromrechnung!$Y$6^Konstanten!$B$18*(Massenstromrechnung!$X$4-(Iteration!CL4+Massenstromrechnung!$X$3)/2)^Konstanten!$C$18*CN4^Konstanten!$D$18*((Massenstromrechnung!$X$3+Iteration!CL4)/2)^Konstanten!$E$18+(Iteration!CL4-Massenstromrechnung!$X$3)^Konstanten!$F$18)))</f>
        <v>507.37969254755768</v>
      </c>
      <c r="CP4" s="101">
        <f>IF(CO4/(Massenstromrechnung!$AA14*Konstanten!$K$3/3.6)+Massenstromrechnung!$X$3-Massenstromrechnung!$X$3&lt;1.4,"RLT zu niedrig",CO4/(Massenstromrechnung!$AA14*Konstanten!$K$3/3.6)+Massenstromrechnung!$X$3)</f>
        <v>11.978034944648634</v>
      </c>
      <c r="CQ4" s="103" t="str">
        <f>IF(CP4="RLT zu niedrig","RLT zu niedrig",IF(OR(Massenstromrechnung!$Y$6&lt;(CP4*50+Massenstromrechnung!$X$3)/51,(Massenstromrechnung!$Y$6-(CP4*51+Massenstromrechnung!$X$3)/51)&lt;0.7),"trocken","feucht"))</f>
        <v>feucht</v>
      </c>
      <c r="CR4" s="104">
        <f>IF(CP4="RLT zu niedrig","RLT zu niedrig",(Massenstromrechnung!$X$4-(Massenstromrechnung!$X$3+CP4)/2)^Konstanten!$E$7*$AK4*$AL4^Konstanten!$F$7*(CP4-Massenstromrechnung!$X$3)^Konstanten!$G$7*((Massenstromrechnung!$X$3+CP4)/2)^Konstanten!$H$7*(Konstanten!$C$7-(CP4-Massenstromrechnung!$X$3)^Konstanten!$I$7*Konstanten!$D$7))</f>
        <v>365.21889276272867</v>
      </c>
      <c r="CS4" s="104">
        <f>IF(CP4="RLT zu niedrig","RLT zu niedrig",IF(CQ4="trocken",CR4,IF(Konstanten!$A$18*(Massenstromrechnung!$Y$6^Konstanten!$B$18*(Massenstromrechnung!$X$4-(Iteration!CP4+Massenstromrechnung!$X$3)/2)^Konstanten!$C$18*CR4^Konstanten!$D$18*((Massenstromrechnung!$X$3+Iteration!CP4)/2)^Konstanten!$E$18+(Iteration!CP4-Massenstromrechnung!$X$3)^Konstanten!$F$18)&lt;1,CR4,CR4*Konstanten!$A$18*(Massenstromrechnung!$Y$6^Konstanten!$B$18*(Massenstromrechnung!$X$4-(Iteration!CP4+Massenstromrechnung!$X$3)/2)^Konstanten!$C$18*CR4^Konstanten!$D$18*((Massenstromrechnung!$X$3+Iteration!CP4)/2)^Konstanten!$E$18+(Iteration!CP4-Massenstromrechnung!$X$3)^Konstanten!$F$18))))</f>
        <v>510.5587837873727</v>
      </c>
    </row>
    <row r="5" spans="1:97" x14ac:dyDescent="0.3">
      <c r="A5">
        <f>Massenstromrechnung!B15</f>
        <v>420</v>
      </c>
      <c r="B5" s="27">
        <v>495</v>
      </c>
      <c r="C5" s="103">
        <f>IF(Massenstromrechnung!$K$3-10&lt;=Massenstromrechnung!$K$4,Massenstromrechnung!$K$3-0.75*(Massenstromrechnung!$K$3-Massenstromrechnung!$K$4),Massenstromrechnung!$K$3-10)</f>
        <v>65</v>
      </c>
      <c r="D5" s="103">
        <f>-1*((Massenstromrechnung!$K$3+C5)/2-Massenstromrechnung!$K$4)^Konstanten!$E$4*Massenstromrechnung!$B15*Massenstromrechnung!$C15^Konstanten!$F$4*(Massenstromrechnung!$K$3-C5)^Konstanten!$G$4*((Massenstromrechnung!$K$3+C5)/2)^Konstanten!$H$4*(Konstanten!$C$4-((Massenstromrechnung!$K$3-C5)^Konstanten!$I$4*Konstanten!$D$4))/(Massenstromrechnung!$F15*Konstanten!$K$3/3.6)+Massenstromrechnung!$K$3</f>
        <v>65</v>
      </c>
      <c r="E5" s="103">
        <f t="shared" si="6"/>
        <v>65</v>
      </c>
      <c r="F5" s="103">
        <f>-1*((Massenstromrechnung!$K$3+E5)/2-Massenstromrechnung!$K$4)^Konstanten!$E$4*Massenstromrechnung!$B15*Massenstromrechnung!$C15^Konstanten!$F$4*(Massenstromrechnung!$K$3-E5)^Konstanten!$G$4*((Massenstromrechnung!$K$3+E5)/2)^Konstanten!$H$4*(Konstanten!$C$4-((Massenstromrechnung!$K$3-E5)^Konstanten!$I$4*Konstanten!$D$4))/(Massenstromrechnung!$F15*Konstanten!$K$3/3.6)+Massenstromrechnung!$K$3</f>
        <v>65</v>
      </c>
      <c r="G5" s="103">
        <f t="shared" si="0"/>
        <v>65</v>
      </c>
      <c r="H5" s="103">
        <f>-1*((Massenstromrechnung!$K$3+G5)/2-Massenstromrechnung!$K$4)^Konstanten!$E$4*Massenstromrechnung!$B15*Massenstromrechnung!$C15^Konstanten!$F$4*(Massenstromrechnung!$K$3-G5)^Konstanten!$G$4*((Massenstromrechnung!$K$3+G5)/2)^Konstanten!$H$4*(Konstanten!$C$4-((Massenstromrechnung!$K$3-G5)^Konstanten!$I$4*Konstanten!$D$4))/(Massenstromrechnung!$F15*Konstanten!$K$3/3.6)+Massenstromrechnung!$K$3</f>
        <v>65</v>
      </c>
      <c r="I5" s="103">
        <f t="shared" si="1"/>
        <v>65</v>
      </c>
      <c r="J5" s="103">
        <f>-1*((Massenstromrechnung!$K$3+I5)/2-Massenstromrechnung!$K$4)^Konstanten!$E$4*Massenstromrechnung!$B15*Massenstromrechnung!$C15^Konstanten!$F$4*(Massenstromrechnung!$K$3-I5)^Konstanten!$G$4*((Massenstromrechnung!$K$3+I5)/2)^Konstanten!$H$4*(Konstanten!$C$4-((Massenstromrechnung!$K$3-I5)^Konstanten!$I$4*Konstanten!$D$4))/(Massenstromrechnung!$F15*Konstanten!$K$3/3.6)+Massenstromrechnung!$K$3</f>
        <v>65</v>
      </c>
      <c r="K5" s="103">
        <f t="shared" si="2"/>
        <v>65</v>
      </c>
      <c r="L5" s="103">
        <f>-1*((Massenstromrechnung!$K$3+K5)/2-Massenstromrechnung!$K$4)^Konstanten!$E$4*Massenstromrechnung!$B15*Massenstromrechnung!$C15^Konstanten!$F$4*(Massenstromrechnung!$K$3-K5)^Konstanten!$G$4*((Massenstromrechnung!$K$3+K5)/2)^Konstanten!$H$4*(Konstanten!$C$4-((Massenstromrechnung!$K$3-K5)^Konstanten!$I$4*Konstanten!$D$4))/(Massenstromrechnung!$F15*Konstanten!$K$3/3.6)+Massenstromrechnung!$K$3</f>
        <v>65</v>
      </c>
      <c r="N5">
        <f>'Katalogdaten M3G045'!B19</f>
        <v>420</v>
      </c>
      <c r="O5" s="27">
        <v>495</v>
      </c>
      <c r="P5" s="103">
        <f>IF(Massenstromrechnung!$K$3-10&lt;=Massenstromrechnung!$K$4,Massenstromrechnung!$K$3-0.75*(Massenstromrechnung!$K$3-Massenstromrechnung!$K$4),Massenstromrechnung!$K$3-10)</f>
        <v>65</v>
      </c>
      <c r="Q5" s="103" t="e">
        <f>-1*((Massenstromrechnung!$K$3+P5)/2-Massenstromrechnung!$K$4)^Konstanten!$E$4*Massenstromrechnung!$B15*Massenstromrechnung!$C15^Konstanten!$F$4*(Massenstromrechnung!$K$3-P5)^Konstanten!$G$4*((Massenstromrechnung!$K$3+P5)/2)^Konstanten!$H$4*(Konstanten!$C$4-((Massenstromrechnung!$K$3-P5)^Konstanten!$I$4*Konstanten!$D$4))/(Massenstromrechnung!#REF!*Konstanten!$K$3/3.6)+Massenstromrechnung!$K$3</f>
        <v>#REF!</v>
      </c>
      <c r="R5" s="103" t="e">
        <f t="shared" si="7"/>
        <v>#REF!</v>
      </c>
      <c r="S5" s="103" t="e">
        <f>-1*((Massenstromrechnung!$K$3+R5)/2-Massenstromrechnung!$K$4)^Konstanten!$E$4*Massenstromrechnung!$B15*Massenstromrechnung!$C15^Konstanten!$F$4*(Massenstromrechnung!$K$3-R5)^Konstanten!$G$4*((Massenstromrechnung!$K$3+R5)/2)^Konstanten!$H$4*(Konstanten!$C$4-((Massenstromrechnung!$K$3-R5)^Konstanten!$I$4*Konstanten!$D$4))/(Massenstromrechnung!#REF!*Konstanten!$K$3/3.6)+Massenstromrechnung!$K$3</f>
        <v>#REF!</v>
      </c>
      <c r="T5" s="103" t="e">
        <f t="shared" si="3"/>
        <v>#REF!</v>
      </c>
      <c r="U5" s="103" t="e">
        <f>-1*((Massenstromrechnung!$K$3+T5)/2-Massenstromrechnung!$K$4)^Konstanten!$E$4*Massenstromrechnung!$B15*Massenstromrechnung!$C15^Konstanten!$F$4*(Massenstromrechnung!$K$3-T5)^Konstanten!$G$4*((Massenstromrechnung!$K$3+T5)/2)^Konstanten!$H$4*(Konstanten!$C$4-((Massenstromrechnung!$K$3-T5)^Konstanten!$I$4*Konstanten!$D$4))/(Massenstromrechnung!#REF!*Konstanten!$K$3/3.6)+Massenstromrechnung!$K$3</f>
        <v>#REF!</v>
      </c>
      <c r="V5" s="103" t="e">
        <f t="shared" si="4"/>
        <v>#REF!</v>
      </c>
      <c r="W5" s="103" t="e">
        <f>-1*((Massenstromrechnung!$K$3+V5)/2-Massenstromrechnung!$K$4)^Konstanten!$E$4*Massenstromrechnung!$B15*Massenstromrechnung!$C15^Konstanten!$F$4*(Massenstromrechnung!$K$3-V5)^Konstanten!$G$4*((Massenstromrechnung!$K$3+V5)/2)^Konstanten!$H$4*(Konstanten!$C$4-((Massenstromrechnung!$K$3-V5)^Konstanten!$I$4*Konstanten!$D$4))/(Massenstromrechnung!#REF!*Konstanten!$K$3/3.6)+Massenstromrechnung!$K$3</f>
        <v>#REF!</v>
      </c>
      <c r="X5" s="103" t="e">
        <f t="shared" si="5"/>
        <v>#REF!</v>
      </c>
      <c r="Y5" s="103" t="e">
        <f>-1*((Massenstromrechnung!$K$3+X5)/2-Massenstromrechnung!$K$4)^Konstanten!$E$4*Massenstromrechnung!$B15*Massenstromrechnung!$C15^Konstanten!$F$4*(Massenstromrechnung!$K$3-X5)^Konstanten!$G$4*((Massenstromrechnung!$K$3+X5)/2)^Konstanten!$H$4*(Konstanten!$C$4-((Massenstromrechnung!$K$3-X5)^Konstanten!$I$4*Konstanten!$D$4))/(Massenstromrechnung!#REF!*Konstanten!$K$3/3.6)+Massenstromrechnung!$K$3</f>
        <v>#REF!</v>
      </c>
      <c r="AA5">
        <f t="shared" si="8"/>
        <v>420</v>
      </c>
      <c r="AB5">
        <f t="shared" si="8"/>
        <v>495</v>
      </c>
      <c r="AC5" s="103">
        <f>IF(Massenstromrechnung!$K$3-10&lt;=Massenstromrechnung!$K$4,Massenstromrechnung!$K$3-0.75*(Massenstromrechnung!$K$3-Massenstromrechnung!$K$4),Massenstromrechnung!$K$3-10)</f>
        <v>65</v>
      </c>
      <c r="AD5" s="103">
        <f>-1*((Massenstromrechnung!$K$3+AC5)/2-Massenstromrechnung!$K$4)^Konstanten!$E$5*$AA5*$AB5^Konstanten!$F$5*(Massenstromrechnung!$K$3-AC5)^Konstanten!$G$5*((Massenstromrechnung!$K$3+AC5)/2)^Konstanten!$H$5*(Konstanten!$C$5-((Massenstromrechnung!$K$3-AC5)^Konstanten!$I$5*Konstanten!$D$5))/(Massenstromrechnung!$L15*Konstanten!$K$3/3.6)+Massenstromrechnung!$K$3</f>
        <v>65</v>
      </c>
      <c r="AE5" s="103">
        <f>-1*((Massenstromrechnung!$K$3+AD5)/2-Massenstromrechnung!$K$4)^Konstanten!$E$5*$AA5*$AB5^Konstanten!$F$5*(Massenstromrechnung!$K$3-AD5)^Konstanten!$G$5*((Massenstromrechnung!$K$3+AD5)/2)^Konstanten!$H$5*(Konstanten!$C$5-((Massenstromrechnung!$K$3-AD5)^Konstanten!$I$5*Konstanten!$D$5))/(Massenstromrechnung!$L15*Konstanten!$K$3/3.6)+Massenstromrechnung!$K$3</f>
        <v>65</v>
      </c>
      <c r="AF5" s="103">
        <f>-1*((Massenstromrechnung!$K$3+AE5)/2-Massenstromrechnung!$K$4)^Konstanten!$E$5*$AA5*$AB5^Konstanten!$F$5*(Massenstromrechnung!$K$3-AE5)^Konstanten!$G$5*((Massenstromrechnung!$K$3+AE5)/2)^Konstanten!$H$5*(Konstanten!$C$5-((Massenstromrechnung!$K$3-AE5)^Konstanten!$I$5*Konstanten!$D$5))/(Massenstromrechnung!$L15*Konstanten!$K$3/3.6)+Massenstromrechnung!$K$3</f>
        <v>65</v>
      </c>
      <c r="AG5" s="103">
        <f>-1*((Massenstromrechnung!$K$3+AF5)/2-Massenstromrechnung!$K$4)^Konstanten!$E$5*$AA5*$AB5^Konstanten!$F$5*(Massenstromrechnung!$K$3-AF5)^Konstanten!$G$5*((Massenstromrechnung!$K$3+AF5)/2)^Konstanten!$H$5*(Konstanten!$C$5-((Massenstromrechnung!$K$3-AF5)^Konstanten!$I$5*Konstanten!$D$5))/(Massenstromrechnung!$L15*Konstanten!$K$3/3.6)+Massenstromrechnung!$K$3</f>
        <v>65</v>
      </c>
      <c r="AH5" s="103">
        <f>-1*((Massenstromrechnung!$K$3+AG5)/2-Massenstromrechnung!$K$4)^Konstanten!$E$5*$AA5*$AB5^Konstanten!$F$5*(Massenstromrechnung!$K$3-AG5)^Konstanten!$G$5*((Massenstromrechnung!$K$3+AG5)/2)^Konstanten!$H$5*(Konstanten!$C$5-((Massenstromrechnung!$K$3-AG5)^Konstanten!$I$5*Konstanten!$D$5))/(Massenstromrechnung!$L15*Konstanten!$K$3/3.6)+Massenstromrechnung!$K$3</f>
        <v>65</v>
      </c>
      <c r="AI5" s="103">
        <f>-1*((Massenstromrechnung!$K$3+AH5)/2-Massenstromrechnung!$K$4)^Konstanten!$E$5*$AA5*$AB5^Konstanten!$F$5*(Massenstromrechnung!$K$3-AH5)^Konstanten!$G$5*((Massenstromrechnung!$K$3+AH5)/2)^Konstanten!$H$5*(Konstanten!$C$5-((Massenstromrechnung!$K$3-AH5)^Konstanten!$I$5*Konstanten!$D$5))/(Massenstromrechnung!$L15*Konstanten!$K$3/3.6)+Massenstromrechnung!$K$3</f>
        <v>65</v>
      </c>
      <c r="AK5">
        <f t="shared" si="9"/>
        <v>420</v>
      </c>
      <c r="AL5">
        <f t="shared" si="9"/>
        <v>495</v>
      </c>
      <c r="AM5" s="103">
        <f>Massenstromrechnung!$X$3+2</f>
        <v>9</v>
      </c>
      <c r="AN5" s="103" t="str">
        <f>IF(OR(Massenstromrechnung!$Y$6&lt;(AM5*50+Massenstromrechnung!$X$3)/51,(Massenstromrechnung!$Y$6-(AM5*51+Massenstromrechnung!$X$3)/51)&lt;0.7),"trocken","feucht")</f>
        <v>feucht</v>
      </c>
      <c r="AO5" s="104">
        <f>(Massenstromrechnung!$X$4-(Massenstromrechnung!$X$3+AM5)/2)^Konstanten!$E$6*$AK5*$AL5^Konstanten!$F$6*(AM5-Massenstromrechnung!$X$3)^Konstanten!$G$6*((Massenstromrechnung!$X$3+AM5)/2)^Konstanten!$H$6*(Konstanten!$C$6-(AM5-Massenstromrechnung!$X$3)^Konstanten!$I$6*Konstanten!$D$6)</f>
        <v>235.53420136438504</v>
      </c>
      <c r="AP5" s="104">
        <f>IF(AN5="trocken",AO5,IF(Konstanten!$A$18*(Massenstromrechnung!$Y$6^Konstanten!$B$18*(Massenstromrechnung!$X$4-(Iteration!AM5+Massenstromrechnung!$X$3)/2)^Konstanten!$C$18*AO5^Konstanten!$D$18*((Massenstromrechnung!$X$3+Iteration!AM5)/2)^Konstanten!$E$18+(Iteration!AM5-Massenstromrechnung!$X$3)^Konstanten!$F$18)&lt;1,AO5,AO5*Konstanten!$A$18*(Massenstromrechnung!$Y$6^Konstanten!$B$18*(Massenstromrechnung!$X$4-(Iteration!AM5+Massenstromrechnung!$X$3)/2)^Konstanten!$C$18*AO5^Konstanten!$D$18*((Massenstromrechnung!$X$3+Iteration!AM5)/2)^Konstanten!$E$18+(Iteration!AM5-Massenstromrechnung!$X$3)^Konstanten!$F$18)))</f>
        <v>367.70558013287399</v>
      </c>
      <c r="AQ5" s="101">
        <f>AP5/(Massenstromrechnung!$R15*Konstanten!$K$3/3.6)+Massenstromrechnung!$X$3</f>
        <v>13.209065634237568</v>
      </c>
      <c r="AR5" s="103" t="str">
        <f>IF(OR(Massenstromrechnung!$Y$6&lt;(AQ5*50+Massenstromrechnung!$X$3)/51,(Massenstromrechnung!$Y$6-(AQ5*51+Massenstromrechnung!$X$3)/51)&lt;0.7),"trocken","feucht")</f>
        <v>feucht</v>
      </c>
      <c r="AS5" s="104">
        <f>(Massenstromrechnung!$X$4-(Massenstromrechnung!$X$3+AQ5)/2)^Konstanten!$E$6*$AK5*$AL5^Konstanten!$F$6*(AQ5-Massenstromrechnung!$X$3)^Konstanten!$G$6*((Massenstromrechnung!$X$3+AQ5)/2)^Konstanten!$H$6*(Konstanten!$C$6-(AQ5-Massenstromrechnung!$X$3)^Konstanten!$I$6*Konstanten!$D$6)</f>
        <v>196.86620227393772</v>
      </c>
      <c r="AT5" s="104">
        <f>IF(AR5="trocken",AS5,IF(Konstanten!$A$18*(Massenstromrechnung!$Y$6^Konstanten!$B$18*(Massenstromrechnung!$X$4-(Iteration!AQ5+Massenstromrechnung!$X$3)/2)^Konstanten!$C$18*AS5^Konstanten!$D$18*((Massenstromrechnung!$X$3+Iteration!AQ5)/2)^Konstanten!$E$18+(Iteration!AQ5-Massenstromrechnung!$X$3)^Konstanten!$F$18)&lt;1,AS5,AS5*Konstanten!$A$18*(Massenstromrechnung!$Y$6^Konstanten!$B$18*(Massenstromrechnung!$X$4-(Iteration!AQ5+Massenstromrechnung!$X$3)/2)^Konstanten!$C$18*AS5^Konstanten!$D$18*((Massenstromrechnung!$X$3+Iteration!AQ5)/2)^Konstanten!$E$18+(Iteration!AQ5-Massenstromrechnung!$X$3)^Konstanten!$F$18)))</f>
        <v>272.36666637003265</v>
      </c>
      <c r="AU5" s="101">
        <f>AT5/(Massenstromrechnung!$R15*Konstanten!$K$3/3.6)+Massenstromrechnung!$X$3</f>
        <v>11.59917553456466</v>
      </c>
      <c r="AV5" s="103" t="str">
        <f>IF(OR(Massenstromrechnung!$Y$6&lt;(AU5*50+Massenstromrechnung!$X$3)/51,(Massenstromrechnung!$Y$6-(AU5*51+Massenstromrechnung!$X$3)/51)&lt;0.7),"trocken","feucht")</f>
        <v>feucht</v>
      </c>
      <c r="AW5" s="104">
        <f>(Massenstromrechnung!$X$4-(Massenstromrechnung!$X$3+AU5)/2)^Konstanten!$E$6*$AK5*$AL5^Konstanten!$F$6*(AU5-Massenstromrechnung!$X$3)^Konstanten!$G$6*((Massenstromrechnung!$X$3+AU5)/2)^Konstanten!$H$6*(Konstanten!$C$6-(AU5-Massenstromrechnung!$X$3)^Konstanten!$I$6*Konstanten!$D$6)</f>
        <v>212.40625480692651</v>
      </c>
      <c r="AX5" s="104">
        <f>IF(AV5="trocken",AW5,IF(Konstanten!$A$18*(Massenstromrechnung!$Y$6^Konstanten!$B$18*(Massenstromrechnung!$X$4-(Iteration!AU5+Massenstromrechnung!$X$3)/2)^Konstanten!$C$18*AW5^Konstanten!$D$18*((Massenstromrechnung!$X$3+Iteration!AU5)/2)^Konstanten!$E$18+(Iteration!AU5-Massenstromrechnung!$X$3)^Konstanten!$F$18)&lt;1,AW5,AW5*Konstanten!$A$18*(Massenstromrechnung!$Y$6^Konstanten!$B$18*(Massenstromrechnung!$X$4-(Iteration!AU5+Massenstromrechnung!$X$3)/2)^Konstanten!$C$18*AW5^Konstanten!$D$18*((Massenstromrechnung!$X$3+Iteration!AU5)/2)^Konstanten!$E$18+(Iteration!AU5-Massenstromrechnung!$X$3)^Konstanten!$F$18)))</f>
        <v>304.73541040204128</v>
      </c>
      <c r="AY5" s="101">
        <f>AX5/(Massenstromrechnung!$R15*Konstanten!$K$3/3.6)+Massenstromrechnung!$X$3</f>
        <v>12.145753196290521</v>
      </c>
      <c r="AZ5" s="103" t="str">
        <f>IF(OR(Massenstromrechnung!$Y$6&lt;(AY5*50+Massenstromrechnung!$X$3)/51,(Massenstromrechnung!$Y$6-(AY5*51+Massenstromrechnung!$X$3)/51)&lt;0.7),"trocken","feucht")</f>
        <v>feucht</v>
      </c>
      <c r="BA5" s="104">
        <f>(Massenstromrechnung!$X$4-(Massenstromrechnung!$X$3+AY5)/2)^Konstanten!$E$6*$AK5*$AL5^Konstanten!$F$6*(AY5-Massenstromrechnung!$X$3)^Konstanten!$G$6*((Massenstromrechnung!$X$3+AY5)/2)^Konstanten!$H$6*(Konstanten!$C$6-(AY5-Massenstromrechnung!$X$3)^Konstanten!$I$6*Konstanten!$D$6)</f>
        <v>206.9800674392182</v>
      </c>
      <c r="BB5" s="104">
        <f>IF(AZ5="trocken",BA5,IF(Konstanten!$A$18*(Massenstromrechnung!$Y$6^Konstanten!$B$18*(Massenstromrechnung!$X$4-(Iteration!AY5+Massenstromrechnung!$X$3)/2)^Konstanten!$C$18*BA5^Konstanten!$D$18*((Massenstromrechnung!$X$3+Iteration!AY5)/2)^Konstanten!$E$18+(Iteration!AY5-Massenstromrechnung!$X$3)^Konstanten!$F$18)&lt;1,BA5,BA5*Konstanten!$A$18*(Massenstromrechnung!$Y$6^Konstanten!$B$18*(Massenstromrechnung!$X$4-(Iteration!AY5+Massenstromrechnung!$X$3)/2)^Konstanten!$C$18*BA5^Konstanten!$D$18*((Massenstromrechnung!$X$3+Iteration!AY5)/2)^Konstanten!$E$18+(Iteration!AY5-Massenstromrechnung!$X$3)^Konstanten!$F$18)))</f>
        <v>293.06362653683004</v>
      </c>
      <c r="BC5" s="101">
        <f>BB5/(Massenstromrechnung!$R15*Konstanten!$K$3/3.6)+Massenstromrechnung!$X$3</f>
        <v>11.948663796500766</v>
      </c>
      <c r="BD5" s="103" t="str">
        <f>IF(OR(Massenstromrechnung!$Y$6&lt;(BC5*50+Massenstromrechnung!$X$3)/51,(Massenstromrechnung!$Y$6-(BC5*51+Massenstromrechnung!$X$3)/51)&lt;0.7),"trocken","feucht")</f>
        <v>feucht</v>
      </c>
      <c r="BE5" s="104">
        <f>(Massenstromrechnung!$X$4-(Massenstromrechnung!$X$3+BC5)/2)^Konstanten!$E$6*$AK5*$AL5^Konstanten!$F$6*(BC5-Massenstromrechnung!$X$3)^Konstanten!$G$6*((Massenstromrechnung!$X$3+BC5)/2)^Konstanten!$H$6*(Konstanten!$C$6-(BC5-Massenstromrechnung!$X$3)^Konstanten!$I$6*Konstanten!$D$6)</f>
        <v>208.92078400199711</v>
      </c>
      <c r="BF5" s="104">
        <f>IF(BD5="trocken",BE5,IF(Konstanten!$A$18*(Massenstromrechnung!$Y$6^Konstanten!$B$18*(Massenstromrechnung!$X$4-(Iteration!BC5+Massenstromrechnung!$X$3)/2)^Konstanten!$C$18*BE5^Konstanten!$D$18*((Massenstromrechnung!$X$3+Iteration!BC5)/2)^Konstanten!$E$18+(Iteration!BC5-Massenstromrechnung!$X$3)^Konstanten!$F$18)&lt;1,BE5,BE5*Konstanten!$A$18*(Massenstromrechnung!$Y$6^Konstanten!$B$18*(Massenstromrechnung!$X$4-(Iteration!BC5+Massenstromrechnung!$X$3)/2)^Konstanten!$C$18*BE5^Konstanten!$D$18*((Massenstromrechnung!$X$3+Iteration!BC5)/2)^Konstanten!$E$18+(Iteration!BC5-Massenstromrechnung!$X$3)^Konstanten!$F$18)))</f>
        <v>297.18694475161283</v>
      </c>
      <c r="BG5" s="101">
        <f>BF5/(Massenstromrechnung!$R15*Konstanten!$K$3/3.6)+Massenstromrechnung!$X$3</f>
        <v>12.018290026859255</v>
      </c>
      <c r="BH5" s="103" t="str">
        <f>IF(OR(Massenstromrechnung!$Y$6&lt;(BG5*50+Massenstromrechnung!$X$3)/51,(Massenstromrechnung!$Y$6-(BG5*51+Massenstromrechnung!$X$3)/51)&lt;0.7),"trocken","feucht")</f>
        <v>feucht</v>
      </c>
      <c r="BI5" s="104">
        <f>(Massenstromrechnung!$X$4-(Massenstromrechnung!$X$3+BG5)/2)^Konstanten!$E$6*$AK5*$AL5^Konstanten!$F$6*(BG5-Massenstromrechnung!$X$3)^Konstanten!$G$6*((Massenstromrechnung!$X$3+BG5)/2)^Konstanten!$H$6*(Konstanten!$C$6-(BG5-Massenstromrechnung!$X$3)^Konstanten!$I$6*Konstanten!$D$6)</f>
        <v>208.23300089260425</v>
      </c>
      <c r="BJ5" s="104">
        <f>IF(BH5="trocken",BI5,IF(Konstanten!$A$18*(Massenstromrechnung!$Y$6^Konstanten!$B$18*(Massenstromrechnung!$X$4-(Iteration!BG5+Massenstromrechnung!$X$3)/2)^Konstanten!$C$18*BI5^Konstanten!$D$18*((Massenstromrechnung!$X$3+Iteration!BG5)/2)^Konstanten!$E$18+(Iteration!BG5-Massenstromrechnung!$X$3)^Konstanten!$F$18)&lt;1,BI5,BI5*Konstanten!$A$18*(Massenstromrechnung!$Y$6^Konstanten!$B$18*(Massenstromrechnung!$X$4-(Iteration!BG5+Massenstromrechnung!$X$3)/2)^Konstanten!$C$18*BI5^Konstanten!$D$18*((Massenstromrechnung!$X$3+Iteration!BG5)/2)^Konstanten!$E$18+(Iteration!BG5-Massenstromrechnung!$X$3)^Konstanten!$F$18)))</f>
        <v>295.71945560302845</v>
      </c>
      <c r="BK5" s="101">
        <f>IF(BJ5/(Massenstromrechnung!$R15*Konstanten!$K$3/3.6)+Massenstromrechnung!$X$3-Massenstromrechnung!$X$3&lt;1.4,"RLT zu niedrig",BJ5/(Massenstromrechnung!$R15*Konstanten!$K$3/3.6)+Massenstromrechnung!$X$3)</f>
        <v>11.993510048165977</v>
      </c>
      <c r="BL5" s="103" t="str">
        <f>IF(BK5="RLT zu niedrig","RLT zu niedrig",IF(OR(Massenstromrechnung!$Y$6&lt;(BK5*50+Massenstromrechnung!$X$3)/51,(Massenstromrechnung!$Y$6-(BK5*51+Massenstromrechnung!$X$3)/51)&lt;0.7),"trocken","feucht"))</f>
        <v>feucht</v>
      </c>
      <c r="BM5" s="104">
        <f>IF(BK5="RLT zu niedrig","RLT zu niedrig",(Massenstromrechnung!$X$4-(Massenstromrechnung!$X$3+BK5)/2)^Konstanten!$E$6*$AK5*$AL5^Konstanten!$F$6*(BK5-Massenstromrechnung!$X$3)^Konstanten!$G$6*((Massenstromrechnung!$X$3+BK5)/2)^Konstanten!$H$6*(Konstanten!$C$6-(BK5-Massenstromrechnung!$X$3)^Konstanten!$I$6*Konstanten!$D$6))</f>
        <v>208.47751475207878</v>
      </c>
      <c r="BN5" s="104">
        <f>IF(BK5="RLT zu niedrig","RLT zu niedrig",IF(BL5="trocken",BM5,IF(Konstanten!$A$18*(Massenstromrechnung!$Y$6^Konstanten!$B$18*(Massenstromrechnung!$X$4-(Iteration!BK5+Massenstromrechnung!$X$3)/2)^Konstanten!$C$18*BM5^Konstanten!$D$18*((Massenstromrechnung!$X$3+Iteration!BK5)/2)^Konstanten!$E$18+(Iteration!BK5-Massenstromrechnung!$X$3)^Konstanten!$F$18)&lt;1,BM5,BM5*Konstanten!$A$18*(Massenstromrechnung!$Y$6^Konstanten!$B$18*(Massenstromrechnung!$X$4-(Iteration!BK5+Massenstromrechnung!$X$3)/2)^Konstanten!$C$18*BM5^Konstanten!$D$18*((Massenstromrechnung!$X$3+Iteration!BK5)/2)^Konstanten!$E$18+(Iteration!BK5-Massenstromrechnung!$X$3)^Konstanten!$F$18))))</f>
        <v>296.24037007224905</v>
      </c>
      <c r="BO5" s="101"/>
      <c r="BP5">
        <f t="shared" si="10"/>
        <v>420</v>
      </c>
      <c r="BQ5">
        <f t="shared" si="10"/>
        <v>495</v>
      </c>
      <c r="BR5" s="103">
        <f>Massenstromrechnung!$X$3+2</f>
        <v>9</v>
      </c>
      <c r="BS5" s="103" t="str">
        <f>IF(OR(Massenstromrechnung!$Y$6&lt;(BR5*50+Massenstromrechnung!$X$3)/51,(Massenstromrechnung!$Y$6-(BR5*51+Massenstromrechnung!$X$3)/51)&lt;0.7),"trocken","feucht")</f>
        <v>feucht</v>
      </c>
      <c r="BT5" s="104">
        <f>(Massenstromrechnung!$X$4-(Massenstromrechnung!$X$3+BR5)/2)^Konstanten!$E$7*$AK5*$AL5^Konstanten!$F$7*(BR5-Massenstromrechnung!$X$3)^Konstanten!$G$7*((Massenstromrechnung!$X$3+BR5)/2)^Konstanten!$H$7*(Konstanten!$C$7-(BR5-Massenstromrechnung!$X$3)^Konstanten!$I$7*Konstanten!$D$7)</f>
        <v>259.66773423964048</v>
      </c>
      <c r="BU5" s="104">
        <f>IF(BS5="trocken",BT5,IF(Konstanten!$A$18*(Massenstromrechnung!$Y$6^Konstanten!$B$18*(Massenstromrechnung!$X$4-(Iteration!BR5+Massenstromrechnung!$X$3)/2)^Konstanten!$C$18*BT5^Konstanten!$D$18*((Massenstromrechnung!$X$3+Iteration!BR5)/2)^Konstanten!$E$18+(Iteration!BR5-Massenstromrechnung!$X$3)^Konstanten!$F$18)&lt;1,BT5,BT5*Konstanten!$A$18*(Massenstromrechnung!$Y$6^Konstanten!$B$18*(Massenstromrechnung!$X$4-(Iteration!BR5+Massenstromrechnung!$X$3)/2)^Konstanten!$C$18*BT5^Konstanten!$D$18*((Massenstromrechnung!$X$3+Iteration!BR5)/2)^Konstanten!$E$18+(Iteration!BR5-Massenstromrechnung!$X$3)^Konstanten!$F$18)))</f>
        <v>404.23517909527459</v>
      </c>
      <c r="BV5" s="101">
        <f>BU5/(Massenstromrechnung!$AA15*Konstanten!$K$3/3.6)+Massenstromrechnung!$X$3</f>
        <v>13.885962623848268</v>
      </c>
      <c r="BW5" s="103" t="str">
        <f>IF(OR(Massenstromrechnung!$Y$6&lt;(BV5*50+Massenstromrechnung!$X$3)/51,(Massenstromrechnung!$Y$6-(BV5*51+Massenstromrechnung!$X$3)/51)&lt;0.7),"trocken","feucht")</f>
        <v>feucht</v>
      </c>
      <c r="BX5" s="104">
        <f>(Massenstromrechnung!$X$4-(Massenstromrechnung!$X$3+BV5)/2)^Konstanten!$E$7*$AK5*$AL5^Konstanten!$F$7*(BV5-Massenstromrechnung!$X$3)^Konstanten!$G$7*((Massenstromrechnung!$X$3+BV5)/2)^Konstanten!$H$7*(Konstanten!$C$7-(BV5-Massenstromrechnung!$X$3)^Konstanten!$I$7*Konstanten!$D$7)</f>
        <v>185.70753163139636</v>
      </c>
      <c r="BY5" s="104">
        <f>IF(BW5="trocken",BX5,IF(Konstanten!$A$18*(Massenstromrechnung!$Y$6^Konstanten!$B$18*(Massenstromrechnung!$X$4-(Iteration!BV5+Massenstromrechnung!$X$3)/2)^Konstanten!$C$18*BX5^Konstanten!$D$18*((Massenstromrechnung!$X$3+Iteration!BV5)/2)^Konstanten!$E$18+(Iteration!BV5-Massenstromrechnung!$X$3)^Konstanten!$F$18)&lt;1,BX5,BX5*Konstanten!$A$18*(Massenstromrechnung!$Y$6^Konstanten!$B$18*(Massenstromrechnung!$X$4-(Iteration!BV5+Massenstromrechnung!$X$3)/2)^Konstanten!$C$18*BX5^Konstanten!$D$18*((Massenstromrechnung!$X$3+Iteration!BV5)/2)^Konstanten!$E$18+(Iteration!BV5-Massenstromrechnung!$X$3)^Konstanten!$F$18)))</f>
        <v>253.7379828625964</v>
      </c>
      <c r="BZ5" s="101">
        <f>BY5/(Massenstromrechnung!$AA15*Konstanten!$K$3/3.6)+Massenstromrechnung!$X$3</f>
        <v>11.322311259878459</v>
      </c>
      <c r="CA5" s="103" t="str">
        <f>IF(OR(Massenstromrechnung!$Y$6&lt;(BZ5*50+Massenstromrechnung!$X$3)/51,(Massenstromrechnung!$Y$6-(BZ5*51+Massenstromrechnung!$X$3)/51)&lt;0.7),"trocken","feucht")</f>
        <v>feucht</v>
      </c>
      <c r="CB5" s="104">
        <f>(Massenstromrechnung!$X$4-(Massenstromrechnung!$X$3+BZ5)/2)^Konstanten!$E$7*$AK5*$AL5^Konstanten!$F$7*(BZ5-Massenstromrechnung!$X$3)^Konstanten!$G$7*((Massenstromrechnung!$X$3+BZ5)/2)^Konstanten!$H$7*(Konstanten!$C$7-(BZ5-Massenstromrechnung!$X$3)^Konstanten!$I$7*Konstanten!$D$7)</f>
        <v>215.49051311388911</v>
      </c>
      <c r="CC5" s="104">
        <f>IF(CA5="trocken",CB5,IF(Konstanten!$A$18*(Massenstromrechnung!$Y$6^Konstanten!$B$18*(Massenstromrechnung!$X$4-(Iteration!BZ5+Massenstromrechnung!$X$3)/2)^Konstanten!$C$18*CB5^Konstanten!$D$18*((Massenstromrechnung!$X$3+Iteration!BZ5)/2)^Konstanten!$E$18+(Iteration!BZ5-Massenstromrechnung!$X$3)^Konstanten!$F$18)&lt;1,CB5,CB5*Konstanten!$A$18*(Massenstromrechnung!$Y$6^Konstanten!$B$18*(Massenstromrechnung!$X$4-(Iteration!BZ5+Massenstromrechnung!$X$3)/2)^Konstanten!$C$18*CB5^Konstanten!$D$18*((Massenstromrechnung!$X$3+Iteration!BZ5)/2)^Konstanten!$E$18+(Iteration!BZ5-Massenstromrechnung!$X$3)^Konstanten!$F$18)))</f>
        <v>311.34189475183661</v>
      </c>
      <c r="CD5" s="101">
        <f>CC5/(Massenstromrechnung!$AA15*Konstanten!$K$3/3.6)+Massenstromrechnung!$X$3</f>
        <v>12.303567728314791</v>
      </c>
      <c r="CE5" s="103" t="str">
        <f>IF(OR(Massenstromrechnung!$Y$6&lt;(CD5*50+Massenstromrechnung!$X$3)/51,(Massenstromrechnung!$Y$6-(CD5*51+Massenstromrechnung!$X$3)/51)&lt;0.7),"trocken","feucht")</f>
        <v>feucht</v>
      </c>
      <c r="CF5" s="104">
        <f>(Massenstromrechnung!$X$4-(Massenstromrechnung!$X$3+CD5)/2)^Konstanten!$E$7*$AK5*$AL5^Konstanten!$F$7*(CD5-Massenstromrechnung!$X$3)^Konstanten!$G$7*((Massenstromrechnung!$X$3+CD5)/2)^Konstanten!$H$7*(Konstanten!$C$7-(CD5-Massenstromrechnung!$X$3)^Konstanten!$I$7*Konstanten!$D$7)</f>
        <v>202.83373512879095</v>
      </c>
      <c r="CG5" s="104">
        <f>IF(CE5="trocken",CF5,IF(Konstanten!$A$18*(Massenstromrechnung!$Y$6^Konstanten!$B$18*(Massenstromrechnung!$X$4-(Iteration!CD5+Massenstromrechnung!$X$3)/2)^Konstanten!$C$18*CF5^Konstanten!$D$18*((Massenstromrechnung!$X$3+Iteration!CD5)/2)^Konstanten!$E$18+(Iteration!CD5-Massenstromrechnung!$X$3)^Konstanten!$F$18)&lt;1,CF5,CF5*Konstanten!$A$18*(Massenstromrechnung!$Y$6^Konstanten!$B$18*(Massenstromrechnung!$X$4-(Iteration!CD5+Massenstromrechnung!$X$3)/2)^Konstanten!$C$18*CF5^Konstanten!$D$18*((Massenstromrechnung!$X$3+Iteration!CD5)/2)^Konstanten!$E$18+(Iteration!CD5-Massenstromrechnung!$X$3)^Konstanten!$F$18)))</f>
        <v>286.2614940211368</v>
      </c>
      <c r="CH5" s="101">
        <f>CG5/(Massenstromrechnung!$AA15*Konstanten!$K$3/3.6)+Massenstromrechnung!$X$3</f>
        <v>11.876334496389592</v>
      </c>
      <c r="CI5" s="103" t="str">
        <f>IF(OR(Massenstromrechnung!$Y$6&lt;(CH5*50+Massenstromrechnung!$X$3)/51,(Massenstromrechnung!$Y$6-(CH5*51+Massenstromrechnung!$X$3)/51)&lt;0.7),"trocken","feucht")</f>
        <v>feucht</v>
      </c>
      <c r="CJ5" s="104">
        <f>(Massenstromrechnung!$X$4-(Massenstromrechnung!$X$3+CH5)/2)^Konstanten!$E$7*$AK5*$AL5^Konstanten!$F$7*(CH5-Massenstromrechnung!$X$3)^Konstanten!$G$7*((Massenstromrechnung!$X$3+CH5)/2)^Konstanten!$H$7*(Konstanten!$C$7-(CH5-Massenstromrechnung!$X$3)^Konstanten!$I$7*Konstanten!$D$7)</f>
        <v>208.09936888147615</v>
      </c>
      <c r="CK5" s="104">
        <f>IF(CI5="trocken",CJ5,IF(Konstanten!$A$18*(Massenstromrechnung!$Y$6^Konstanten!$B$18*(Massenstromrechnung!$X$4-(Iteration!CH5+Massenstromrechnung!$X$3)/2)^Konstanten!$C$18*CJ5^Konstanten!$D$18*((Massenstromrechnung!$X$3+Iteration!CH5)/2)^Konstanten!$E$18+(Iteration!CH5-Massenstromrechnung!$X$3)^Konstanten!$F$18)&lt;1,CJ5,CJ5*Konstanten!$A$18*(Massenstromrechnung!$Y$6^Konstanten!$B$18*(Massenstromrechnung!$X$4-(Iteration!CH5+Massenstromrechnung!$X$3)/2)^Konstanten!$C$18*CJ5^Konstanten!$D$18*((Massenstromrechnung!$X$3+Iteration!CH5)/2)^Konstanten!$E$18+(Iteration!CH5-Massenstromrechnung!$X$3)^Konstanten!$F$18)))</f>
        <v>296.59714427883478</v>
      </c>
      <c r="CL5" s="101">
        <f>CK5/(Massenstromrechnung!$AA15*Konstanten!$K$3/3.6)+Massenstromrechnung!$X$3</f>
        <v>12.052397602839072</v>
      </c>
      <c r="CM5" s="103" t="str">
        <f>IF(OR(Massenstromrechnung!$Y$6&lt;(CL5*50+Massenstromrechnung!$X$3)/51,(Massenstromrechnung!$Y$6-(CL5*51+Massenstromrechnung!$X$3)/51)&lt;0.7),"trocken","feucht")</f>
        <v>feucht</v>
      </c>
      <c r="CN5" s="104">
        <f>(Massenstromrechnung!$X$4-(Massenstromrechnung!$X$3+CL5)/2)^Konstanten!$E$7*$AK5*$AL5^Konstanten!$F$7*(CL5-Massenstromrechnung!$X$3)^Konstanten!$G$7*((Massenstromrechnung!$X$3+CL5)/2)^Konstanten!$H$7*(Konstanten!$C$7-(CL5-Massenstromrechnung!$X$3)^Konstanten!$I$7*Konstanten!$D$7)</f>
        <v>205.8882580610499</v>
      </c>
      <c r="CO5" s="104">
        <f>IF(CM5="trocken",CN5,IF(Konstanten!$A$18*(Massenstromrechnung!$Y$6^Konstanten!$B$18*(Massenstromrechnung!$X$4-(Iteration!CL5+Massenstromrechnung!$X$3)/2)^Konstanten!$C$18*CN5^Konstanten!$D$18*((Massenstromrechnung!$X$3+Iteration!CL5)/2)^Konstanten!$E$18+(Iteration!CL5-Massenstromrechnung!$X$3)^Konstanten!$F$18)&lt;1,CN5,CN5*Konstanten!$A$18*(Massenstromrechnung!$Y$6^Konstanten!$B$18*(Massenstromrechnung!$X$4-(Iteration!CL5+Massenstromrechnung!$X$3)/2)^Konstanten!$C$18*CN5^Konstanten!$D$18*((Massenstromrechnung!$X$3+Iteration!CL5)/2)^Konstanten!$E$18+(Iteration!CL5-Massenstromrechnung!$X$3)^Konstanten!$F$18)))</f>
        <v>292.23926537904464</v>
      </c>
      <c r="CP5" s="101">
        <f>IF(CO5/(Massenstromrechnung!$AA15*Konstanten!$K$3/3.6)+Massenstromrechnung!$X$3-Massenstromrechnung!$X$3&lt;1.4,"RLT zu niedrig",CO5/(Massenstromrechnung!$AA15*Konstanten!$K$3/3.6)+Massenstromrechnung!$X$3)</f>
        <v>11.978163115651753</v>
      </c>
      <c r="CQ5" s="103" t="str">
        <f>IF(CP5="RLT zu niedrig","RLT zu niedrig",IF(OR(Massenstromrechnung!$Y$6&lt;(CP5*50+Massenstromrechnung!$X$3)/51,(Massenstromrechnung!$Y$6-(CP5*51+Massenstromrechnung!$X$3)/51)&lt;0.7),"trocken","feucht"))</f>
        <v>feucht</v>
      </c>
      <c r="CR5" s="104">
        <f>IF(CP5="RLT zu niedrig","RLT zu niedrig",(Massenstromrechnung!$X$4-(Massenstromrechnung!$X$3+CP5)/2)^Konstanten!$E$7*$AK5*$AL5^Konstanten!$F$7*(CP5-Massenstromrechnung!$X$3)^Konstanten!$G$7*((Massenstromrechnung!$X$3+CP5)/2)^Konstanten!$H$7*(Konstanten!$C$7-(CP5-Massenstromrechnung!$X$3)^Konstanten!$I$7*Konstanten!$D$7))</f>
        <v>206.81319163838876</v>
      </c>
      <c r="CS5" s="104">
        <f>IF(CP5="RLT zu niedrig","RLT zu niedrig",IF(CQ5="trocken",CR5,IF(Konstanten!$A$18*(Massenstromrechnung!$Y$6^Konstanten!$B$18*(Massenstromrechnung!$X$4-(Iteration!CP5+Massenstromrechnung!$X$3)/2)^Konstanten!$C$18*CR5^Konstanten!$D$18*((Massenstromrechnung!$X$3+Iteration!CP5)/2)^Konstanten!$E$18+(Iteration!CP5-Massenstromrechnung!$X$3)^Konstanten!$F$18)&lt;1,CR5,CR5*Konstanten!$A$18*(Massenstromrechnung!$Y$6^Konstanten!$B$18*(Massenstromrechnung!$X$4-(Iteration!CP5+Massenstromrechnung!$X$3)/2)^Konstanten!$C$18*CR5^Konstanten!$D$18*((Massenstromrechnung!$X$3+Iteration!CP5)/2)^Konstanten!$E$18+(Iteration!CP5-Massenstromrechnung!$X$3)^Konstanten!$F$18))))</f>
        <v>294.05913270216456</v>
      </c>
    </row>
    <row r="6" spans="1:97" x14ac:dyDescent="0.3">
      <c r="A6">
        <f>Massenstromrechnung!B16</f>
        <v>420</v>
      </c>
      <c r="B6" s="78">
        <v>315</v>
      </c>
      <c r="C6" s="103">
        <f>IF(Massenstromrechnung!$K$3-10&lt;=Massenstromrechnung!$K$4,Massenstromrechnung!$K$3-0.75*(Massenstromrechnung!$K$3-Massenstromrechnung!$K$4),Massenstromrechnung!$K$3-10)</f>
        <v>65</v>
      </c>
      <c r="D6" s="103">
        <f>-1*((Massenstromrechnung!$K$3+C6)/2-Massenstromrechnung!$K$4)^Konstanten!$E$4*Massenstromrechnung!$B16*Massenstromrechnung!$C16^Konstanten!$F$4*(Massenstromrechnung!$K$3-C6)^Konstanten!$G$4*((Massenstromrechnung!$K$3+C6)/2)^Konstanten!$H$4*(Konstanten!$C$4-((Massenstromrechnung!$K$3-C6)^Konstanten!$I$4*Konstanten!$D$4))/(Massenstromrechnung!$F16*Konstanten!$K$3/3.6)+Massenstromrechnung!$K$3</f>
        <v>65</v>
      </c>
      <c r="E6" s="103">
        <f t="shared" si="6"/>
        <v>65</v>
      </c>
      <c r="F6" s="103">
        <f>-1*((Massenstromrechnung!$K$3+E6)/2-Massenstromrechnung!$K$4)^Konstanten!$E$4*Massenstromrechnung!$B16*Massenstromrechnung!$C16^Konstanten!$F$4*(Massenstromrechnung!$K$3-E6)^Konstanten!$G$4*((Massenstromrechnung!$K$3+E6)/2)^Konstanten!$H$4*(Konstanten!$C$4-((Massenstromrechnung!$K$3-E6)^Konstanten!$I$4*Konstanten!$D$4))/(Massenstromrechnung!$F16*Konstanten!$K$3/3.6)+Massenstromrechnung!$K$3</f>
        <v>65</v>
      </c>
      <c r="G6" s="103">
        <f t="shared" si="0"/>
        <v>65</v>
      </c>
      <c r="H6" s="103">
        <f>-1*((Massenstromrechnung!$K$3+G6)/2-Massenstromrechnung!$K$4)^Konstanten!$E$4*Massenstromrechnung!$B16*Massenstromrechnung!$C16^Konstanten!$F$4*(Massenstromrechnung!$K$3-G6)^Konstanten!$G$4*((Massenstromrechnung!$K$3+G6)/2)^Konstanten!$H$4*(Konstanten!$C$4-((Massenstromrechnung!$K$3-G6)^Konstanten!$I$4*Konstanten!$D$4))/(Massenstromrechnung!$F16*Konstanten!$K$3/3.6)+Massenstromrechnung!$K$3</f>
        <v>65</v>
      </c>
      <c r="I6" s="103">
        <f t="shared" si="1"/>
        <v>65</v>
      </c>
      <c r="J6" s="103">
        <f>-1*((Massenstromrechnung!$K$3+I6)/2-Massenstromrechnung!$K$4)^Konstanten!$E$4*Massenstromrechnung!$B16*Massenstromrechnung!$C16^Konstanten!$F$4*(Massenstromrechnung!$K$3-I6)^Konstanten!$G$4*((Massenstromrechnung!$K$3+I6)/2)^Konstanten!$H$4*(Konstanten!$C$4-((Massenstromrechnung!$K$3-I6)^Konstanten!$I$4*Konstanten!$D$4))/(Massenstromrechnung!$F16*Konstanten!$K$3/3.6)+Massenstromrechnung!$K$3</f>
        <v>65</v>
      </c>
      <c r="K6" s="103">
        <f t="shared" si="2"/>
        <v>65</v>
      </c>
      <c r="L6" s="103">
        <f>-1*((Massenstromrechnung!$K$3+K6)/2-Massenstromrechnung!$K$4)^Konstanten!$E$4*Massenstromrechnung!$B16*Massenstromrechnung!$C16^Konstanten!$F$4*(Massenstromrechnung!$K$3-K6)^Konstanten!$G$4*((Massenstromrechnung!$K$3+K6)/2)^Konstanten!$H$4*(Konstanten!$C$4-((Massenstromrechnung!$K$3-K6)^Konstanten!$I$4*Konstanten!$D$4))/(Massenstromrechnung!$F16*Konstanten!$K$3/3.6)+Massenstromrechnung!$K$3</f>
        <v>65</v>
      </c>
      <c r="N6">
        <f>'Katalogdaten M3G045'!B20</f>
        <v>420</v>
      </c>
      <c r="O6" s="78">
        <v>315</v>
      </c>
      <c r="P6" s="103">
        <f>IF(Massenstromrechnung!$K$3-10&lt;=Massenstromrechnung!$K$4,Massenstromrechnung!$K$3-0.75*(Massenstromrechnung!$K$3-Massenstromrechnung!$K$4),Massenstromrechnung!$K$3-10)</f>
        <v>65</v>
      </c>
      <c r="Q6" s="103" t="e">
        <f>-1*((Massenstromrechnung!$K$3+P6)/2-Massenstromrechnung!$K$4)^Konstanten!$E$4*Massenstromrechnung!$B16*Massenstromrechnung!$C16^Konstanten!$F$4*(Massenstromrechnung!$K$3-P6)^Konstanten!$G$4*((Massenstromrechnung!$K$3+P6)/2)^Konstanten!$H$4*(Konstanten!$C$4-((Massenstromrechnung!$K$3-P6)^Konstanten!$I$4*Konstanten!$D$4))/(Massenstromrechnung!#REF!*Konstanten!$K$3/3.6)+Massenstromrechnung!$K$3</f>
        <v>#REF!</v>
      </c>
      <c r="R6" s="103" t="e">
        <f t="shared" si="7"/>
        <v>#REF!</v>
      </c>
      <c r="S6" s="103" t="e">
        <f>-1*((Massenstromrechnung!$K$3+R6)/2-Massenstromrechnung!$K$4)^Konstanten!$E$4*Massenstromrechnung!$B16*Massenstromrechnung!$C16^Konstanten!$F$4*(Massenstromrechnung!$K$3-R6)^Konstanten!$G$4*((Massenstromrechnung!$K$3+R6)/2)^Konstanten!$H$4*(Konstanten!$C$4-((Massenstromrechnung!$K$3-R6)^Konstanten!$I$4*Konstanten!$D$4))/(Massenstromrechnung!#REF!*Konstanten!$K$3/3.6)+Massenstromrechnung!$K$3</f>
        <v>#REF!</v>
      </c>
      <c r="T6" s="103" t="e">
        <f t="shared" si="3"/>
        <v>#REF!</v>
      </c>
      <c r="U6" s="103" t="e">
        <f>-1*((Massenstromrechnung!$K$3+T6)/2-Massenstromrechnung!$K$4)^Konstanten!$E$4*Massenstromrechnung!$B16*Massenstromrechnung!$C16^Konstanten!$F$4*(Massenstromrechnung!$K$3-T6)^Konstanten!$G$4*((Massenstromrechnung!$K$3+T6)/2)^Konstanten!$H$4*(Konstanten!$C$4-((Massenstromrechnung!$K$3-T6)^Konstanten!$I$4*Konstanten!$D$4))/(Massenstromrechnung!#REF!*Konstanten!$K$3/3.6)+Massenstromrechnung!$K$3</f>
        <v>#REF!</v>
      </c>
      <c r="V6" s="103" t="e">
        <f t="shared" si="4"/>
        <v>#REF!</v>
      </c>
      <c r="W6" s="103" t="e">
        <f>-1*((Massenstromrechnung!$K$3+V6)/2-Massenstromrechnung!$K$4)^Konstanten!$E$4*Massenstromrechnung!$B16*Massenstromrechnung!$C16^Konstanten!$F$4*(Massenstromrechnung!$K$3-V6)^Konstanten!$G$4*((Massenstromrechnung!$K$3+V6)/2)^Konstanten!$H$4*(Konstanten!$C$4-((Massenstromrechnung!$K$3-V6)^Konstanten!$I$4*Konstanten!$D$4))/(Massenstromrechnung!#REF!*Konstanten!$K$3/3.6)+Massenstromrechnung!$K$3</f>
        <v>#REF!</v>
      </c>
      <c r="X6" s="103" t="e">
        <f t="shared" si="5"/>
        <v>#REF!</v>
      </c>
      <c r="Y6" s="103" t="e">
        <f>-1*((Massenstromrechnung!$K$3+X6)/2-Massenstromrechnung!$K$4)^Konstanten!$E$4*Massenstromrechnung!$B16*Massenstromrechnung!$C16^Konstanten!$F$4*(Massenstromrechnung!$K$3-X6)^Konstanten!$G$4*((Massenstromrechnung!$K$3+X6)/2)^Konstanten!$H$4*(Konstanten!$C$4-((Massenstromrechnung!$K$3-X6)^Konstanten!$I$4*Konstanten!$D$4))/(Massenstromrechnung!#REF!*Konstanten!$K$3/3.6)+Massenstromrechnung!$K$3</f>
        <v>#REF!</v>
      </c>
      <c r="AA6">
        <f t="shared" si="8"/>
        <v>420</v>
      </c>
      <c r="AB6">
        <f t="shared" si="8"/>
        <v>315</v>
      </c>
      <c r="AC6" s="103">
        <f>IF(Massenstromrechnung!$K$3-10&lt;=Massenstromrechnung!$K$4,Massenstromrechnung!$K$3-0.75*(Massenstromrechnung!$K$3-Massenstromrechnung!$K$4),Massenstromrechnung!$K$3-10)</f>
        <v>65</v>
      </c>
      <c r="AD6" s="103">
        <f>-1*((Massenstromrechnung!$K$3+AC6)/2-Massenstromrechnung!$K$4)^Konstanten!$E$5*$AA6*$AB6^Konstanten!$F$5*(Massenstromrechnung!$K$3-AC6)^Konstanten!$G$5*((Massenstromrechnung!$K$3+AC6)/2)^Konstanten!$H$5*(Konstanten!$C$5-((Massenstromrechnung!$K$3-AC6)^Konstanten!$I$5*Konstanten!$D$5))/(Massenstromrechnung!$L16*Konstanten!$K$3/3.6)+Massenstromrechnung!$K$3</f>
        <v>65</v>
      </c>
      <c r="AE6" s="103">
        <f>-1*((Massenstromrechnung!$K$3+AD6)/2-Massenstromrechnung!$K$4)^Konstanten!$E$5*$AA6*$AB6^Konstanten!$F$5*(Massenstromrechnung!$K$3-AD6)^Konstanten!$G$5*((Massenstromrechnung!$K$3+AD6)/2)^Konstanten!$H$5*(Konstanten!$C$5-((Massenstromrechnung!$K$3-AD6)^Konstanten!$I$5*Konstanten!$D$5))/(Massenstromrechnung!$L16*Konstanten!$K$3/3.6)+Massenstromrechnung!$K$3</f>
        <v>65</v>
      </c>
      <c r="AF6" s="103">
        <f>-1*((Massenstromrechnung!$K$3+AE6)/2-Massenstromrechnung!$K$4)^Konstanten!$E$5*$AA6*$AB6^Konstanten!$F$5*(Massenstromrechnung!$K$3-AE6)^Konstanten!$G$5*((Massenstromrechnung!$K$3+AE6)/2)^Konstanten!$H$5*(Konstanten!$C$5-((Massenstromrechnung!$K$3-AE6)^Konstanten!$I$5*Konstanten!$D$5))/(Massenstromrechnung!$L16*Konstanten!$K$3/3.6)+Massenstromrechnung!$K$3</f>
        <v>65</v>
      </c>
      <c r="AG6" s="103">
        <f>-1*((Massenstromrechnung!$K$3+AF6)/2-Massenstromrechnung!$K$4)^Konstanten!$E$5*$AA6*$AB6^Konstanten!$F$5*(Massenstromrechnung!$K$3-AF6)^Konstanten!$G$5*((Massenstromrechnung!$K$3+AF6)/2)^Konstanten!$H$5*(Konstanten!$C$5-((Massenstromrechnung!$K$3-AF6)^Konstanten!$I$5*Konstanten!$D$5))/(Massenstromrechnung!$L16*Konstanten!$K$3/3.6)+Massenstromrechnung!$K$3</f>
        <v>65</v>
      </c>
      <c r="AH6" s="103">
        <f>-1*((Massenstromrechnung!$K$3+AG6)/2-Massenstromrechnung!$K$4)^Konstanten!$E$5*$AA6*$AB6^Konstanten!$F$5*(Massenstromrechnung!$K$3-AG6)^Konstanten!$G$5*((Massenstromrechnung!$K$3+AG6)/2)^Konstanten!$H$5*(Konstanten!$C$5-((Massenstromrechnung!$K$3-AG6)^Konstanten!$I$5*Konstanten!$D$5))/(Massenstromrechnung!$L16*Konstanten!$K$3/3.6)+Massenstromrechnung!$K$3</f>
        <v>65</v>
      </c>
      <c r="AI6" s="103">
        <f>-1*((Massenstromrechnung!$K$3+AH6)/2-Massenstromrechnung!$K$4)^Konstanten!$E$5*$AA6*$AB6^Konstanten!$F$5*(Massenstromrechnung!$K$3-AH6)^Konstanten!$G$5*((Massenstromrechnung!$K$3+AH6)/2)^Konstanten!$H$5*(Konstanten!$C$5-((Massenstromrechnung!$K$3-AH6)^Konstanten!$I$5*Konstanten!$D$5))/(Massenstromrechnung!$L16*Konstanten!$K$3/3.6)+Massenstromrechnung!$K$3</f>
        <v>65</v>
      </c>
      <c r="AK6">
        <f t="shared" si="9"/>
        <v>420</v>
      </c>
      <c r="AL6">
        <f t="shared" si="9"/>
        <v>315</v>
      </c>
      <c r="AM6" s="103">
        <f>Massenstromrechnung!$X$3+2</f>
        <v>9</v>
      </c>
      <c r="AN6" s="103" t="str">
        <f>IF(OR(Massenstromrechnung!$Y$6&lt;(AM6*50+Massenstromrechnung!$X$3)/51,(Massenstromrechnung!$Y$6-(AM6*51+Massenstromrechnung!$X$3)/51)&lt;0.7),"trocken","feucht")</f>
        <v>feucht</v>
      </c>
      <c r="AO6" s="104">
        <f>(Massenstromrechnung!$X$4-(Massenstromrechnung!$X$3+AM6)/2)^Konstanten!$E$6*$AK6*$AL6^Konstanten!$F$6*(AM6-Massenstromrechnung!$X$3)^Konstanten!$G$6*((Massenstromrechnung!$X$3+AM6)/2)^Konstanten!$H$6*(Konstanten!$C$6-(AM6-Massenstromrechnung!$X$3)^Konstanten!$I$6*Konstanten!$D$6)</f>
        <v>121.64442538286998</v>
      </c>
      <c r="AP6" s="104">
        <f>IF(AN6="trocken",AO6,IF(Konstanten!$A$18*(Massenstromrechnung!$Y$6^Konstanten!$B$18*(Massenstromrechnung!$X$4-(Iteration!AM6+Massenstromrechnung!$X$3)/2)^Konstanten!$C$18*AO6^Konstanten!$D$18*((Massenstromrechnung!$X$3+Iteration!AM6)/2)^Konstanten!$E$18+(Iteration!AM6-Massenstromrechnung!$X$3)^Konstanten!$F$18)&lt;1,AO6,AO6*Konstanten!$A$18*(Massenstromrechnung!$Y$6^Konstanten!$B$18*(Massenstromrechnung!$X$4-(Iteration!AM6+Massenstromrechnung!$X$3)/2)^Konstanten!$C$18*AO6^Konstanten!$D$18*((Massenstromrechnung!$X$3+Iteration!AM6)/2)^Konstanten!$E$18+(Iteration!AM6-Massenstromrechnung!$X$3)^Konstanten!$F$18)))</f>
        <v>193.58746135300603</v>
      </c>
      <c r="AQ6" s="101">
        <f>AP6/(Massenstromrechnung!$R16*Konstanten!$K$3/3.6)+Massenstromrechnung!$X$3</f>
        <v>13.205834495166192</v>
      </c>
      <c r="AR6" s="103" t="str">
        <f>IF(OR(Massenstromrechnung!$Y$6&lt;(AQ6*50+Massenstromrechnung!$X$3)/51,(Massenstromrechnung!$Y$6-(AQ6*51+Massenstromrechnung!$X$3)/51)&lt;0.7),"trocken","feucht")</f>
        <v>feucht</v>
      </c>
      <c r="AS6" s="104">
        <f>(Massenstromrechnung!$X$4-(Massenstromrechnung!$X$3+AQ6)/2)^Konstanten!$E$6*$AK6*$AL6^Konstanten!$F$6*(AQ6-Massenstromrechnung!$X$3)^Konstanten!$G$6*((Massenstromrechnung!$X$3+AQ6)/2)^Konstanten!$H$6*(Konstanten!$C$6-(AQ6-Massenstromrechnung!$X$3)^Konstanten!$I$6*Konstanten!$D$6)</f>
        <v>101.68926456170915</v>
      </c>
      <c r="AT6" s="104">
        <f>IF(AR6="trocken",AS6,IF(Konstanten!$A$18*(Massenstromrechnung!$Y$6^Konstanten!$B$18*(Massenstromrechnung!$X$4-(Iteration!AQ6+Massenstromrechnung!$X$3)/2)^Konstanten!$C$18*AS6^Konstanten!$D$18*((Massenstromrechnung!$X$3+Iteration!AQ6)/2)^Konstanten!$E$18+(Iteration!AQ6-Massenstromrechnung!$X$3)^Konstanten!$F$18)&lt;1,AS6,AS6*Konstanten!$A$18*(Massenstromrechnung!$Y$6^Konstanten!$B$18*(Massenstromrechnung!$X$4-(Iteration!AQ6+Massenstromrechnung!$X$3)/2)^Konstanten!$C$18*AS6^Konstanten!$D$18*((Massenstromrechnung!$X$3+Iteration!AQ6)/2)^Konstanten!$E$18+(Iteration!AQ6-Massenstromrechnung!$X$3)^Konstanten!$F$18)))</f>
        <v>143.5121222460829</v>
      </c>
      <c r="AU6" s="101">
        <f>AT6/(Massenstromrechnung!$R16*Konstanten!$K$3/3.6)+Massenstromrechnung!$X$3</f>
        <v>11.600569026964097</v>
      </c>
      <c r="AV6" s="103" t="str">
        <f>IF(OR(Massenstromrechnung!$Y$6&lt;(AU6*50+Massenstromrechnung!$X$3)/51,(Massenstromrechnung!$Y$6-(AU6*51+Massenstromrechnung!$X$3)/51)&lt;0.7),"trocken","feucht")</f>
        <v>feucht</v>
      </c>
      <c r="AW6" s="104">
        <f>(Massenstromrechnung!$X$4-(Massenstromrechnung!$X$3+AU6)/2)^Konstanten!$E$6*$AK6*$AL6^Konstanten!$F$6*(AU6-Massenstromrechnung!$X$3)^Konstanten!$G$6*((Massenstromrechnung!$X$3+AU6)/2)^Konstanten!$H$6*(Konstanten!$C$6-(AU6-Massenstromrechnung!$X$3)^Konstanten!$I$6*Konstanten!$D$6)</f>
        <v>109.69249426213314</v>
      </c>
      <c r="AX6" s="104">
        <f>IF(AV6="trocken",AW6,IF(Konstanten!$A$18*(Massenstromrechnung!$Y$6^Konstanten!$B$18*(Massenstromrechnung!$X$4-(Iteration!AU6+Massenstromrechnung!$X$3)/2)^Konstanten!$C$18*AW6^Konstanten!$D$18*((Massenstromrechnung!$X$3+Iteration!AU6)/2)^Konstanten!$E$18+(Iteration!AU6-Massenstromrechnung!$X$3)^Konstanten!$F$18)&lt;1,AW6,AW6*Konstanten!$A$18*(Massenstromrechnung!$Y$6^Konstanten!$B$18*(Massenstromrechnung!$X$4-(Iteration!AU6+Massenstromrechnung!$X$3)/2)^Konstanten!$C$18*AW6^Konstanten!$D$18*((Massenstromrechnung!$X$3+Iteration!AU6)/2)^Konstanten!$E$18+(Iteration!AU6-Massenstromrechnung!$X$3)^Konstanten!$F$18)))</f>
        <v>160.49685143754346</v>
      </c>
      <c r="AY6" s="101">
        <f>AX6/(Massenstromrechnung!$R16*Konstanten!$K$3/3.6)+Massenstromrechnung!$X$3</f>
        <v>12.145048600024966</v>
      </c>
      <c r="AZ6" s="103" t="str">
        <f>IF(OR(Massenstromrechnung!$Y$6&lt;(AY6*50+Massenstromrechnung!$X$3)/51,(Massenstromrechnung!$Y$6-(AY6*51+Massenstromrechnung!$X$3)/51)&lt;0.7),"trocken","feucht")</f>
        <v>feucht</v>
      </c>
      <c r="BA6" s="104">
        <f>(Massenstromrechnung!$X$4-(Massenstromrechnung!$X$3+AY6)/2)^Konstanten!$E$6*$AK6*$AL6^Konstanten!$F$6*(AY6-Massenstromrechnung!$X$3)^Konstanten!$G$6*((Massenstromrechnung!$X$3+AY6)/2)^Konstanten!$H$6*(Konstanten!$C$6-(AY6-Massenstromrechnung!$X$3)^Konstanten!$I$6*Konstanten!$D$6)</f>
        <v>106.90087046999658</v>
      </c>
      <c r="BB6" s="104">
        <f>IF(AZ6="trocken",BA6,IF(Konstanten!$A$18*(Massenstromrechnung!$Y$6^Konstanten!$B$18*(Massenstromrechnung!$X$4-(Iteration!AY6+Massenstromrechnung!$X$3)/2)^Konstanten!$C$18*BA6^Konstanten!$D$18*((Massenstromrechnung!$X$3+Iteration!AY6)/2)^Konstanten!$E$18+(Iteration!AY6-Massenstromrechnung!$X$3)^Konstanten!$F$18)&lt;1,BA6,BA6*Konstanten!$A$18*(Massenstromrechnung!$Y$6^Konstanten!$B$18*(Massenstromrechnung!$X$4-(Iteration!AY6+Massenstromrechnung!$X$3)/2)^Konstanten!$C$18*BA6^Konstanten!$D$18*((Massenstromrechnung!$X$3+Iteration!AY6)/2)^Konstanten!$E$18+(Iteration!AY6-Massenstromrechnung!$X$3)^Konstanten!$F$18)))</f>
        <v>154.38026820809228</v>
      </c>
      <c r="BC6" s="101">
        <f>BB6/(Massenstromrechnung!$R16*Konstanten!$K$3/3.6)+Massenstromrechnung!$X$3</f>
        <v>11.948969252051771</v>
      </c>
      <c r="BD6" s="103" t="str">
        <f>IF(OR(Massenstromrechnung!$Y$6&lt;(BC6*50+Massenstromrechnung!$X$3)/51,(Massenstromrechnung!$Y$6-(BC6*51+Massenstromrechnung!$X$3)/51)&lt;0.7),"trocken","feucht")</f>
        <v>feucht</v>
      </c>
      <c r="BE6" s="104">
        <f>(Massenstromrechnung!$X$4-(Massenstromrechnung!$X$3+BC6)/2)^Konstanten!$E$6*$AK6*$AL6^Konstanten!$F$6*(BC6-Massenstromrechnung!$X$3)^Konstanten!$G$6*((Massenstromrechnung!$X$3+BC6)/2)^Konstanten!$H$6*(Konstanten!$C$6-(BC6-Massenstromrechnung!$X$3)^Konstanten!$I$6*Konstanten!$D$6)</f>
        <v>107.89805009527635</v>
      </c>
      <c r="BF6" s="104">
        <f>IF(BD6="trocken",BE6,IF(Konstanten!$A$18*(Massenstromrechnung!$Y$6^Konstanten!$B$18*(Massenstromrechnung!$X$4-(Iteration!BC6+Massenstromrechnung!$X$3)/2)^Konstanten!$C$18*BE6^Konstanten!$D$18*((Massenstromrechnung!$X$3+Iteration!BC6)/2)^Konstanten!$E$18+(Iteration!BC6-Massenstromrechnung!$X$3)^Konstanten!$F$18)&lt;1,BE6,BE6*Konstanten!$A$18*(Massenstromrechnung!$Y$6^Konstanten!$B$18*(Massenstromrechnung!$X$4-(Iteration!BC6+Massenstromrechnung!$X$3)/2)^Konstanten!$C$18*BE6^Konstanten!$D$18*((Massenstromrechnung!$X$3+Iteration!BC6)/2)^Konstanten!$E$18+(Iteration!BC6-Massenstromrechnung!$X$3)^Konstanten!$F$18)))</f>
        <v>156.53860340111561</v>
      </c>
      <c r="BG6" s="101">
        <f>BF6/(Massenstromrechnung!$R16*Konstanten!$K$3/3.6)+Massenstromrechnung!$X$3</f>
        <v>12.018159017232747</v>
      </c>
      <c r="BH6" s="103" t="str">
        <f>IF(OR(Massenstromrechnung!$Y$6&lt;(BG6*50+Massenstromrechnung!$X$3)/51,(Massenstromrechnung!$Y$6-(BG6*51+Massenstromrechnung!$X$3)/51)&lt;0.7),"trocken","feucht")</f>
        <v>feucht</v>
      </c>
      <c r="BI6" s="104">
        <f>(Massenstromrechnung!$X$4-(Massenstromrechnung!$X$3+BG6)/2)^Konstanten!$E$6*$AK6*$AL6^Konstanten!$F$6*(BG6-Massenstromrechnung!$X$3)^Konstanten!$G$6*((Massenstromrechnung!$X$3+BG6)/2)^Konstanten!$H$6*(Konstanten!$C$6-(BG6-Massenstromrechnung!$X$3)^Konstanten!$I$6*Konstanten!$D$6)</f>
        <v>107.54506457913553</v>
      </c>
      <c r="BJ6" s="104">
        <f>IF(BH6="trocken",BI6,IF(Konstanten!$A$18*(Massenstromrechnung!$Y$6^Konstanten!$B$18*(Massenstromrechnung!$X$4-(Iteration!BG6+Massenstromrechnung!$X$3)/2)^Konstanten!$C$18*BI6^Konstanten!$D$18*((Massenstromrechnung!$X$3+Iteration!BG6)/2)^Konstanten!$E$18+(Iteration!BG6-Massenstromrechnung!$X$3)^Konstanten!$F$18)&lt;1,BI6,BI6*Konstanten!$A$18*(Massenstromrechnung!$Y$6^Konstanten!$B$18*(Massenstromrechnung!$X$4-(Iteration!BG6+Massenstromrechnung!$X$3)/2)^Konstanten!$C$18*BI6^Konstanten!$D$18*((Massenstromrechnung!$X$3+Iteration!BG6)/2)^Konstanten!$E$18+(Iteration!BG6-Massenstromrechnung!$X$3)^Konstanten!$F$18)))</f>
        <v>155.77138024349134</v>
      </c>
      <c r="BK6" s="101">
        <f>IF(BJ6/(Massenstromrechnung!$R16*Konstanten!$K$3/3.6)+Massenstromrechnung!$X$3-Massenstromrechnung!$X$3&lt;1.4,"RLT zu niedrig",BJ6/(Massenstromrechnung!$R16*Konstanten!$K$3/3.6)+Massenstromrechnung!$X$3)</f>
        <v>11.993564139528385</v>
      </c>
      <c r="BL6" s="103" t="str">
        <f>IF(BK6="RLT zu niedrig","RLT zu niedrig",IF(OR(Massenstromrechnung!$Y$6&lt;(BK6*50+Massenstromrechnung!$X$3)/51,(Massenstromrechnung!$Y$6-(BK6*51+Massenstromrechnung!$X$3)/51)&lt;0.7),"trocken","feucht"))</f>
        <v>feucht</v>
      </c>
      <c r="BM6" s="104">
        <f>IF(BK6="RLT zu niedrig","RLT zu niedrig",(Massenstromrechnung!$X$4-(Massenstromrechnung!$X$3+BK6)/2)^Konstanten!$E$6*$AK6*$AL6^Konstanten!$F$6*(BK6-Massenstromrechnung!$X$3)^Konstanten!$G$6*((Massenstromrechnung!$X$3+BK6)/2)^Konstanten!$H$6*(Konstanten!$C$6-(BK6-Massenstromrechnung!$X$3)^Konstanten!$I$6*Konstanten!$D$6))</f>
        <v>107.67040359431887</v>
      </c>
      <c r="BN6" s="104">
        <f>IF(BK6="RLT zu niedrig","RLT zu niedrig",IF(BL6="trocken",BM6,IF(Konstanten!$A$18*(Massenstromrechnung!$Y$6^Konstanten!$B$18*(Massenstromrechnung!$X$4-(Iteration!BK6+Massenstromrechnung!$X$3)/2)^Konstanten!$C$18*BM6^Konstanten!$D$18*((Massenstromrechnung!$X$3+Iteration!BK6)/2)^Konstanten!$E$18+(Iteration!BK6-Massenstromrechnung!$X$3)^Konstanten!$F$18)&lt;1,BM6,BM6*Konstanten!$A$18*(Massenstromrechnung!$Y$6^Konstanten!$B$18*(Massenstromrechnung!$X$4-(Iteration!BK6+Massenstromrechnung!$X$3)/2)^Konstanten!$C$18*BM6^Konstanten!$D$18*((Massenstromrechnung!$X$3+Iteration!BK6)/2)^Konstanten!$E$18+(Iteration!BK6-Massenstromrechnung!$X$3)^Konstanten!$F$18))))</f>
        <v>156.04339873226709</v>
      </c>
      <c r="BO6" s="101"/>
      <c r="BP6">
        <f t="shared" si="10"/>
        <v>420</v>
      </c>
      <c r="BQ6">
        <f t="shared" si="10"/>
        <v>315</v>
      </c>
      <c r="BR6" s="103">
        <f>Massenstromrechnung!$X$3+2</f>
        <v>9</v>
      </c>
      <c r="BS6" s="103" t="str">
        <f>IF(OR(Massenstromrechnung!$Y$6&lt;(BR6*50+Massenstromrechnung!$X$3)/51,(Massenstromrechnung!$Y$6-(BR6*51+Massenstromrechnung!$X$3)/51)&lt;0.7),"trocken","feucht")</f>
        <v>feucht</v>
      </c>
      <c r="BT6" s="104">
        <f>(Massenstromrechnung!$X$4-(Massenstromrechnung!$X$3+BR6)/2)^Konstanten!$E$7*$AK6*$AL6^Konstanten!$F$7*(BR6-Massenstromrechnung!$X$3)^Konstanten!$G$7*((Massenstromrechnung!$X$3+BR6)/2)^Konstanten!$H$7*(Konstanten!$C$7-(BR6-Massenstromrechnung!$X$3)^Konstanten!$I$7*Konstanten!$D$7)</f>
        <v>135.53151395685816</v>
      </c>
      <c r="BU6" s="104">
        <f>IF(BS6="trocken",BT6,IF(Konstanten!$A$18*(Massenstromrechnung!$Y$6^Konstanten!$B$18*(Massenstromrechnung!$X$4-(Iteration!BR6+Massenstromrechnung!$X$3)/2)^Konstanten!$C$18*BT6^Konstanten!$D$18*((Massenstromrechnung!$X$3+Iteration!BR6)/2)^Konstanten!$E$18+(Iteration!BR6-Massenstromrechnung!$X$3)^Konstanten!$F$18)&lt;1,BT6,BT6*Konstanten!$A$18*(Massenstromrechnung!$Y$6^Konstanten!$B$18*(Massenstromrechnung!$X$4-(Iteration!BR6+Massenstromrechnung!$X$3)/2)^Konstanten!$C$18*BT6^Konstanten!$D$18*((Massenstromrechnung!$X$3+Iteration!BR6)/2)^Konstanten!$E$18+(Iteration!BR6-Massenstromrechnung!$X$3)^Konstanten!$F$18)))</f>
        <v>215.01081485635629</v>
      </c>
      <c r="BV6" s="101">
        <f>BU6/(Massenstromrechnung!$AA16*Konstanten!$K$3/3.6)+Massenstromrechnung!$X$3</f>
        <v>13.88240946355662</v>
      </c>
      <c r="BW6" s="103" t="str">
        <f>IF(OR(Massenstromrechnung!$Y$6&lt;(BV6*50+Massenstromrechnung!$X$3)/51,(Massenstromrechnung!$Y$6-(BV6*51+Massenstromrechnung!$X$3)/51)&lt;0.7),"trocken","feucht")</f>
        <v>feucht</v>
      </c>
      <c r="BX6" s="104">
        <f>(Massenstromrechnung!$X$4-(Massenstromrechnung!$X$3+BV6)/2)^Konstanten!$E$7*$AK6*$AL6^Konstanten!$F$7*(BV6-Massenstromrechnung!$X$3)^Konstanten!$G$7*((Massenstromrechnung!$X$3+BV6)/2)^Konstanten!$H$7*(Konstanten!$C$7-(BV6-Massenstromrechnung!$X$3)^Konstanten!$I$7*Konstanten!$D$7)</f>
        <v>96.946916225949479</v>
      </c>
      <c r="BY6" s="104">
        <f>IF(BW6="trocken",BX6,IF(Konstanten!$A$18*(Massenstromrechnung!$Y$6^Konstanten!$B$18*(Massenstromrechnung!$X$4-(Iteration!BV6+Massenstromrechnung!$X$3)/2)^Konstanten!$C$18*BX6^Konstanten!$D$18*((Massenstromrechnung!$X$3+Iteration!BV6)/2)^Konstanten!$E$18+(Iteration!BV6-Massenstromrechnung!$X$3)^Konstanten!$F$18)&lt;1,BX6,BX6*Konstanten!$A$18*(Massenstromrechnung!$Y$6^Konstanten!$B$18*(Massenstromrechnung!$X$4-(Iteration!BV6+Massenstromrechnung!$X$3)/2)^Konstanten!$C$18*BX6^Konstanten!$D$18*((Massenstromrechnung!$X$3+Iteration!BV6)/2)^Konstanten!$E$18+(Iteration!BV6-Massenstromrechnung!$X$3)^Konstanten!$F$18)))</f>
        <v>135.08264697363788</v>
      </c>
      <c r="BZ6" s="101">
        <f>BY6/(Massenstromrechnung!$AA16*Konstanten!$K$3/3.6)+Massenstromrechnung!$X$3</f>
        <v>11.323941046941059</v>
      </c>
      <c r="CA6" s="103" t="str">
        <f>IF(OR(Massenstromrechnung!$Y$6&lt;(BZ6*50+Massenstromrechnung!$X$3)/51,(Massenstromrechnung!$Y$6-(BZ6*51+Massenstromrechnung!$X$3)/51)&lt;0.7),"trocken","feucht")</f>
        <v>feucht</v>
      </c>
      <c r="CB6" s="104">
        <f>(Massenstromrechnung!$X$4-(Massenstromrechnung!$X$3+BZ6)/2)^Konstanten!$E$7*$AK6*$AL6^Konstanten!$F$7*(BZ6-Massenstromrechnung!$X$3)^Konstanten!$G$7*((Massenstromrechnung!$X$3+BZ6)/2)^Konstanten!$H$7*(Konstanten!$C$7-(BZ6-Massenstromrechnung!$X$3)^Konstanten!$I$7*Konstanten!$D$7)</f>
        <v>112.46165419787273</v>
      </c>
      <c r="CC6" s="104">
        <f>IF(CA6="trocken",CB6,IF(Konstanten!$A$18*(Massenstromrechnung!$Y$6^Konstanten!$B$18*(Massenstromrechnung!$X$4-(Iteration!BZ6+Massenstromrechnung!$X$3)/2)^Konstanten!$C$18*CB6^Konstanten!$D$18*((Massenstromrechnung!$X$3+Iteration!BZ6)/2)^Konstanten!$E$18+(Iteration!BZ6-Massenstromrechnung!$X$3)^Konstanten!$F$18)&lt;1,CB6,CB6*Konstanten!$A$18*(Massenstromrechnung!$Y$6^Konstanten!$B$18*(Massenstromrechnung!$X$4-(Iteration!BZ6+Massenstromrechnung!$X$3)/2)^Konstanten!$C$18*CB6^Konstanten!$D$18*((Massenstromrechnung!$X$3+Iteration!BZ6)/2)^Konstanten!$E$18+(Iteration!BZ6-Massenstromrechnung!$X$3)^Konstanten!$F$18)))</f>
        <v>165.65183684791302</v>
      </c>
      <c r="CD6" s="101">
        <f>CC6/(Massenstromrechnung!$AA16*Konstanten!$K$3/3.6)+Massenstromrechnung!$X$3</f>
        <v>12.302448485390268</v>
      </c>
      <c r="CE6" s="103" t="str">
        <f>IF(OR(Massenstromrechnung!$Y$6&lt;(CD6*50+Massenstromrechnung!$X$3)/51,(Massenstromrechnung!$Y$6-(CD6*51+Massenstromrechnung!$X$3)/51)&lt;0.7),"trocken","feucht")</f>
        <v>feucht</v>
      </c>
      <c r="CF6" s="104">
        <f>(Massenstromrechnung!$X$4-(Massenstromrechnung!$X$3+CD6)/2)^Konstanten!$E$7*$AK6*$AL6^Konstanten!$F$7*(CD6-Massenstromrechnung!$X$3)^Konstanten!$G$7*((Massenstromrechnung!$X$3+CD6)/2)^Konstanten!$H$7*(Konstanten!$C$7-(CD6-Massenstromrechnung!$X$3)^Konstanten!$I$7*Konstanten!$D$7)</f>
        <v>105.87443504491682</v>
      </c>
      <c r="CG6" s="104">
        <f>IF(CE6="trocken",CF6,IF(Konstanten!$A$18*(Massenstromrechnung!$Y$6^Konstanten!$B$18*(Massenstromrechnung!$X$4-(Iteration!CD6+Massenstromrechnung!$X$3)/2)^Konstanten!$C$18*CF6^Konstanten!$D$18*((Massenstromrechnung!$X$3+Iteration!CD6)/2)^Konstanten!$E$18+(Iteration!CD6-Massenstromrechnung!$X$3)^Konstanten!$F$18)&lt;1,CF6,CF6*Konstanten!$A$18*(Massenstromrechnung!$Y$6^Konstanten!$B$18*(Massenstromrechnung!$X$4-(Iteration!CD6+Massenstromrechnung!$X$3)/2)^Konstanten!$C$18*CF6^Konstanten!$D$18*((Massenstromrechnung!$X$3+Iteration!CD6)/2)^Konstanten!$E$18+(Iteration!CD6-Massenstromrechnung!$X$3)^Konstanten!$F$18)))</f>
        <v>152.35730127932385</v>
      </c>
      <c r="CH6" s="101">
        <f>CG6/(Massenstromrechnung!$AA16*Konstanten!$K$3/3.6)+Massenstromrechnung!$X$3</f>
        <v>11.876895763905182</v>
      </c>
      <c r="CI6" s="103" t="str">
        <f>IF(OR(Massenstromrechnung!$Y$6&lt;(CH6*50+Massenstromrechnung!$X$3)/51,(Massenstromrechnung!$Y$6-(CH6*51+Massenstromrechnung!$X$3)/51)&lt;0.7),"trocken","feucht")</f>
        <v>feucht</v>
      </c>
      <c r="CJ6" s="104">
        <f>(Massenstromrechnung!$X$4-(Massenstromrechnung!$X$3+CH6)/2)^Konstanten!$E$7*$AK6*$AL6^Konstanten!$F$7*(CH6-Massenstromrechnung!$X$3)^Konstanten!$G$7*((Massenstromrechnung!$X$3+CH6)/2)^Konstanten!$H$7*(Konstanten!$C$7-(CH6-Massenstromrechnung!$X$3)^Konstanten!$I$7*Konstanten!$D$7)</f>
        <v>108.61208500350429</v>
      </c>
      <c r="CK6" s="104">
        <f>IF(CI6="trocken",CJ6,IF(Konstanten!$A$18*(Massenstromrechnung!$Y$6^Konstanten!$B$18*(Massenstromrechnung!$X$4-(Iteration!CH6+Massenstromrechnung!$X$3)/2)^Konstanten!$C$18*CJ6^Konstanten!$D$18*((Massenstromrechnung!$X$3+Iteration!CH6)/2)^Konstanten!$E$18+(Iteration!CH6-Massenstromrechnung!$X$3)^Konstanten!$F$18)&lt;1,CJ6,CJ6*Konstanten!$A$18*(Massenstromrechnung!$Y$6^Konstanten!$B$18*(Massenstromrechnung!$X$4-(Iteration!CH6+Massenstromrechnung!$X$3)/2)^Konstanten!$C$18*CJ6^Konstanten!$D$18*((Massenstromrechnung!$X$3+Iteration!CH6)/2)^Konstanten!$E$18+(Iteration!CH6-Massenstromrechnung!$X$3)^Konstanten!$F$18)))</f>
        <v>157.830915575359</v>
      </c>
      <c r="CL6" s="101">
        <f>CK6/(Massenstromrechnung!$AA16*Konstanten!$K$3/3.6)+Massenstromrechnung!$X$3</f>
        <v>12.052103949856473</v>
      </c>
      <c r="CM6" s="103" t="str">
        <f>IF(OR(Massenstromrechnung!$Y$6&lt;(CL6*50+Massenstromrechnung!$X$3)/51,(Massenstromrechnung!$Y$6-(CL6*51+Massenstromrechnung!$X$3)/51)&lt;0.7),"trocken","feucht")</f>
        <v>feucht</v>
      </c>
      <c r="CN6" s="104">
        <f>(Massenstromrechnung!$X$4-(Massenstromrechnung!$X$3+CL6)/2)^Konstanten!$E$7*$AK6*$AL6^Konstanten!$F$7*(CL6-Massenstromrechnung!$X$3)^Konstanten!$G$7*((Massenstromrechnung!$X$3+CL6)/2)^Konstanten!$H$7*(Konstanten!$C$7-(CL6-Massenstromrechnung!$X$3)^Konstanten!$I$7*Konstanten!$D$7)</f>
        <v>107.46364192738366</v>
      </c>
      <c r="CO6" s="104">
        <f>IF(CM6="trocken",CN6,IF(Konstanten!$A$18*(Massenstromrechnung!$Y$6^Konstanten!$B$18*(Massenstromrechnung!$X$4-(Iteration!CL6+Massenstromrechnung!$X$3)/2)^Konstanten!$C$18*CN6^Konstanten!$D$18*((Massenstromrechnung!$X$3+Iteration!CL6)/2)^Konstanten!$E$18+(Iteration!CL6-Massenstromrechnung!$X$3)^Konstanten!$F$18)&lt;1,CN6,CN6*Konstanten!$A$18*(Massenstromrechnung!$Y$6^Konstanten!$B$18*(Massenstromrechnung!$X$4-(Iteration!CL6+Massenstromrechnung!$X$3)/2)^Konstanten!$C$18*CN6^Konstanten!$D$18*((Massenstromrechnung!$X$3+Iteration!CL6)/2)^Konstanten!$E$18+(Iteration!CL6-Massenstromrechnung!$X$3)^Konstanten!$F$18)))</f>
        <v>155.52543379812175</v>
      </c>
      <c r="CP6" s="101">
        <f>IF(CO6/(Massenstromrechnung!$AA16*Konstanten!$K$3/3.6)+Massenstromrechnung!$X$3-Massenstromrechnung!$X$3&lt;1.4,"RLT zu niedrig",CO6/(Massenstromrechnung!$AA16*Konstanten!$K$3/3.6)+Massenstromrechnung!$X$3)</f>
        <v>11.978306408033681</v>
      </c>
      <c r="CQ6" s="103" t="str">
        <f>IF(CP6="RLT zu niedrig","RLT zu niedrig",IF(OR(Massenstromrechnung!$Y$6&lt;(CP6*50+Massenstromrechnung!$X$3)/51,(Massenstromrechnung!$Y$6-(CP6*51+Massenstromrechnung!$X$3)/51)&lt;0.7),"trocken","feucht"))</f>
        <v>feucht</v>
      </c>
      <c r="CR6" s="104">
        <f>IF(CP6="RLT zu niedrig","RLT zu niedrig",(Massenstromrechnung!$X$4-(Massenstromrechnung!$X$3+CP6)/2)^Konstanten!$E$7*$AK6*$AL6^Konstanten!$F$7*(CP6-Massenstromrechnung!$X$3)^Konstanten!$G$7*((Massenstromrechnung!$X$3+CP6)/2)^Konstanten!$H$7*(Konstanten!$C$7-(CP6-Massenstromrechnung!$X$3)^Konstanten!$I$7*Konstanten!$D$7))</f>
        <v>107.94356756808574</v>
      </c>
      <c r="CS6" s="104">
        <f>IF(CP6="RLT zu niedrig","RLT zu niedrig",IF(CQ6="trocken",CR6,IF(Konstanten!$A$18*(Massenstromrechnung!$Y$6^Konstanten!$B$18*(Massenstromrechnung!$X$4-(Iteration!CP6+Massenstromrechnung!$X$3)/2)^Konstanten!$C$18*CR6^Konstanten!$D$18*((Massenstromrechnung!$X$3+Iteration!CP6)/2)^Konstanten!$E$18+(Iteration!CP6-Massenstromrechnung!$X$3)^Konstanten!$F$18)&lt;1,CR6,CR6*Konstanten!$A$18*(Massenstromrechnung!$Y$6^Konstanten!$B$18*(Massenstromrechnung!$X$4-(Iteration!CP6+Massenstromrechnung!$X$3)/2)^Konstanten!$C$18*CR6^Konstanten!$D$18*((Massenstromrechnung!$X$3+Iteration!CP6)/2)^Konstanten!$E$18+(Iteration!CP6-Massenstromrechnung!$X$3)^Konstanten!$F$18))))</f>
        <v>156.48726881406679</v>
      </c>
    </row>
    <row r="7" spans="1:97" x14ac:dyDescent="0.3">
      <c r="A7">
        <f>Massenstromrechnung!B17</f>
        <v>710</v>
      </c>
      <c r="B7" s="53">
        <v>1205</v>
      </c>
      <c r="C7" s="103">
        <f>IF(Massenstromrechnung!$K$3-10&lt;=Massenstromrechnung!$K$4,Massenstromrechnung!$K$3-0.75*(Massenstromrechnung!$K$3-Massenstromrechnung!$K$4),Massenstromrechnung!$K$3-10)</f>
        <v>65</v>
      </c>
      <c r="D7" s="103">
        <f>-1*((Massenstromrechnung!$K$3+C7)/2-Massenstromrechnung!$K$4)^Konstanten!$E$4*Massenstromrechnung!$B17*Massenstromrechnung!$C17^Konstanten!$F$4*(Massenstromrechnung!$K$3-C7)^Konstanten!$G$4*((Massenstromrechnung!$K$3+C7)/2)^Konstanten!$H$4*(Konstanten!$C$4-((Massenstromrechnung!$K$3-C7)^Konstanten!$I$4*Konstanten!$D$4))/(Massenstromrechnung!$F17*Konstanten!$K$3/3.6)+Massenstromrechnung!$K$3</f>
        <v>65</v>
      </c>
      <c r="E7" s="103">
        <f t="shared" si="6"/>
        <v>65</v>
      </c>
      <c r="F7" s="103">
        <f>-1*((Massenstromrechnung!$K$3+E7)/2-Massenstromrechnung!$K$4)^Konstanten!$E$4*Massenstromrechnung!$B17*Massenstromrechnung!$C17^Konstanten!$F$4*(Massenstromrechnung!$K$3-E7)^Konstanten!$G$4*((Massenstromrechnung!$K$3+E7)/2)^Konstanten!$H$4*(Konstanten!$C$4-((Massenstromrechnung!$K$3-E7)^Konstanten!$I$4*Konstanten!$D$4))/(Massenstromrechnung!$F17*Konstanten!$K$3/3.6)+Massenstromrechnung!$K$3</f>
        <v>65</v>
      </c>
      <c r="G7" s="103">
        <f t="shared" si="0"/>
        <v>65</v>
      </c>
      <c r="H7" s="103">
        <f>-1*((Massenstromrechnung!$K$3+G7)/2-Massenstromrechnung!$K$4)^Konstanten!$E$4*Massenstromrechnung!$B17*Massenstromrechnung!$C17^Konstanten!$F$4*(Massenstromrechnung!$K$3-G7)^Konstanten!$G$4*((Massenstromrechnung!$K$3+G7)/2)^Konstanten!$H$4*(Konstanten!$C$4-((Massenstromrechnung!$K$3-G7)^Konstanten!$I$4*Konstanten!$D$4))/(Massenstromrechnung!$F17*Konstanten!$K$3/3.6)+Massenstromrechnung!$K$3</f>
        <v>65</v>
      </c>
      <c r="I7" s="103">
        <f t="shared" si="1"/>
        <v>65</v>
      </c>
      <c r="J7" s="103">
        <f>-1*((Massenstromrechnung!$K$3+I7)/2-Massenstromrechnung!$K$4)^Konstanten!$E$4*Massenstromrechnung!$B17*Massenstromrechnung!$C17^Konstanten!$F$4*(Massenstromrechnung!$K$3-I7)^Konstanten!$G$4*((Massenstromrechnung!$K$3+I7)/2)^Konstanten!$H$4*(Konstanten!$C$4-((Massenstromrechnung!$K$3-I7)^Konstanten!$I$4*Konstanten!$D$4))/(Massenstromrechnung!$F17*Konstanten!$K$3/3.6)+Massenstromrechnung!$K$3</f>
        <v>65</v>
      </c>
      <c r="K7" s="103">
        <f t="shared" si="2"/>
        <v>65</v>
      </c>
      <c r="L7" s="103">
        <f>-1*((Massenstromrechnung!$K$3+K7)/2-Massenstromrechnung!$K$4)^Konstanten!$E$4*Massenstromrechnung!$B17*Massenstromrechnung!$C17^Konstanten!$F$4*(Massenstromrechnung!$K$3-K7)^Konstanten!$G$4*((Massenstromrechnung!$K$3+K7)/2)^Konstanten!$H$4*(Konstanten!$C$4-((Massenstromrechnung!$K$3-K7)^Konstanten!$I$4*Konstanten!$D$4))/(Massenstromrechnung!$F17*Konstanten!$K$3/3.6)+Massenstromrechnung!$K$3</f>
        <v>65</v>
      </c>
      <c r="N7">
        <f>'Katalogdaten M3G045'!B21</f>
        <v>710</v>
      </c>
      <c r="O7" s="53">
        <v>1205</v>
      </c>
      <c r="P7" s="103">
        <f>IF(Massenstromrechnung!$K$3-10&lt;=Massenstromrechnung!$K$4,Massenstromrechnung!$K$3-0.75*(Massenstromrechnung!$K$3-Massenstromrechnung!$K$4),Massenstromrechnung!$K$3-10)</f>
        <v>65</v>
      </c>
      <c r="Q7" s="103" t="e">
        <f>-1*((Massenstromrechnung!$K$3+P7)/2-Massenstromrechnung!$K$4)^Konstanten!$E$4*Massenstromrechnung!$B17*Massenstromrechnung!$C17^Konstanten!$F$4*(Massenstromrechnung!$K$3-P7)^Konstanten!$G$4*((Massenstromrechnung!$K$3+P7)/2)^Konstanten!$H$4*(Konstanten!$C$4-((Massenstromrechnung!$K$3-P7)^Konstanten!$I$4*Konstanten!$D$4))/(Massenstromrechnung!#REF!*Konstanten!$K$3/3.6)+Massenstromrechnung!$K$3</f>
        <v>#REF!</v>
      </c>
      <c r="R7" s="103" t="e">
        <f t="shared" si="7"/>
        <v>#REF!</v>
      </c>
      <c r="S7" s="103" t="e">
        <f>-1*((Massenstromrechnung!$K$3+R7)/2-Massenstromrechnung!$K$4)^Konstanten!$E$4*Massenstromrechnung!$B17*Massenstromrechnung!$C17^Konstanten!$F$4*(Massenstromrechnung!$K$3-R7)^Konstanten!$G$4*((Massenstromrechnung!$K$3+R7)/2)^Konstanten!$H$4*(Konstanten!$C$4-((Massenstromrechnung!$K$3-R7)^Konstanten!$I$4*Konstanten!$D$4))/(Massenstromrechnung!#REF!*Konstanten!$K$3/3.6)+Massenstromrechnung!$K$3</f>
        <v>#REF!</v>
      </c>
      <c r="T7" s="103" t="e">
        <f t="shared" si="3"/>
        <v>#REF!</v>
      </c>
      <c r="U7" s="103" t="e">
        <f>-1*((Massenstromrechnung!$K$3+T7)/2-Massenstromrechnung!$K$4)^Konstanten!$E$4*Massenstromrechnung!$B17*Massenstromrechnung!$C17^Konstanten!$F$4*(Massenstromrechnung!$K$3-T7)^Konstanten!$G$4*((Massenstromrechnung!$K$3+T7)/2)^Konstanten!$H$4*(Konstanten!$C$4-((Massenstromrechnung!$K$3-T7)^Konstanten!$I$4*Konstanten!$D$4))/(Massenstromrechnung!#REF!*Konstanten!$K$3/3.6)+Massenstromrechnung!$K$3</f>
        <v>#REF!</v>
      </c>
      <c r="V7" s="103" t="e">
        <f t="shared" si="4"/>
        <v>#REF!</v>
      </c>
      <c r="W7" s="103" t="e">
        <f>-1*((Massenstromrechnung!$K$3+V7)/2-Massenstromrechnung!$K$4)^Konstanten!$E$4*Massenstromrechnung!$B17*Massenstromrechnung!$C17^Konstanten!$F$4*(Massenstromrechnung!$K$3-V7)^Konstanten!$G$4*((Massenstromrechnung!$K$3+V7)/2)^Konstanten!$H$4*(Konstanten!$C$4-((Massenstromrechnung!$K$3-V7)^Konstanten!$I$4*Konstanten!$D$4))/(Massenstromrechnung!#REF!*Konstanten!$K$3/3.6)+Massenstromrechnung!$K$3</f>
        <v>#REF!</v>
      </c>
      <c r="X7" s="103" t="e">
        <f t="shared" si="5"/>
        <v>#REF!</v>
      </c>
      <c r="Y7" s="103" t="e">
        <f>-1*((Massenstromrechnung!$K$3+X7)/2-Massenstromrechnung!$K$4)^Konstanten!$E$4*Massenstromrechnung!$B17*Massenstromrechnung!$C17^Konstanten!$F$4*(Massenstromrechnung!$K$3-X7)^Konstanten!$G$4*((Massenstromrechnung!$K$3+X7)/2)^Konstanten!$H$4*(Konstanten!$C$4-((Massenstromrechnung!$K$3-X7)^Konstanten!$I$4*Konstanten!$D$4))/(Massenstromrechnung!#REF!*Konstanten!$K$3/3.6)+Massenstromrechnung!$K$3</f>
        <v>#REF!</v>
      </c>
      <c r="AA7">
        <f t="shared" si="8"/>
        <v>710</v>
      </c>
      <c r="AB7">
        <f t="shared" si="8"/>
        <v>1205</v>
      </c>
      <c r="AC7" s="103">
        <f>IF(Massenstromrechnung!$K$3-10&lt;=Massenstromrechnung!$K$4,Massenstromrechnung!$K$3-0.75*(Massenstromrechnung!$K$3-Massenstromrechnung!$K$4),Massenstromrechnung!$K$3-10)</f>
        <v>65</v>
      </c>
      <c r="AD7" s="103">
        <f>-1*((Massenstromrechnung!$K$3+AC7)/2-Massenstromrechnung!$K$4)^Konstanten!$E$5*$AA7*$AB7^Konstanten!$F$5*(Massenstromrechnung!$K$3-AC7)^Konstanten!$G$5*((Massenstromrechnung!$K$3+AC7)/2)^Konstanten!$H$5*(Konstanten!$C$5-((Massenstromrechnung!$K$3-AC7)^Konstanten!$I$5*Konstanten!$D$5))/(Massenstromrechnung!$L17*Konstanten!$K$3/3.6)+Massenstromrechnung!$K$3</f>
        <v>65</v>
      </c>
      <c r="AE7" s="103">
        <f>-1*((Massenstromrechnung!$K$3+AD7)/2-Massenstromrechnung!$K$4)^Konstanten!$E$5*$AA7*$AB7^Konstanten!$F$5*(Massenstromrechnung!$K$3-AD7)^Konstanten!$G$5*((Massenstromrechnung!$K$3+AD7)/2)^Konstanten!$H$5*(Konstanten!$C$5-((Massenstromrechnung!$K$3-AD7)^Konstanten!$I$5*Konstanten!$D$5))/(Massenstromrechnung!$L17*Konstanten!$K$3/3.6)+Massenstromrechnung!$K$3</f>
        <v>65</v>
      </c>
      <c r="AF7" s="103">
        <f>-1*((Massenstromrechnung!$K$3+AE7)/2-Massenstromrechnung!$K$4)^Konstanten!$E$5*$AA7*$AB7^Konstanten!$F$5*(Massenstromrechnung!$K$3-AE7)^Konstanten!$G$5*((Massenstromrechnung!$K$3+AE7)/2)^Konstanten!$H$5*(Konstanten!$C$5-((Massenstromrechnung!$K$3-AE7)^Konstanten!$I$5*Konstanten!$D$5))/(Massenstromrechnung!$L17*Konstanten!$K$3/3.6)+Massenstromrechnung!$K$3</f>
        <v>65</v>
      </c>
      <c r="AG7" s="103">
        <f>-1*((Massenstromrechnung!$K$3+AF7)/2-Massenstromrechnung!$K$4)^Konstanten!$E$5*$AA7*$AB7^Konstanten!$F$5*(Massenstromrechnung!$K$3-AF7)^Konstanten!$G$5*((Massenstromrechnung!$K$3+AF7)/2)^Konstanten!$H$5*(Konstanten!$C$5-((Massenstromrechnung!$K$3-AF7)^Konstanten!$I$5*Konstanten!$D$5))/(Massenstromrechnung!$L17*Konstanten!$K$3/3.6)+Massenstromrechnung!$K$3</f>
        <v>65</v>
      </c>
      <c r="AH7" s="103">
        <f>-1*((Massenstromrechnung!$K$3+AG7)/2-Massenstromrechnung!$K$4)^Konstanten!$E$5*$AA7*$AB7^Konstanten!$F$5*(Massenstromrechnung!$K$3-AG7)^Konstanten!$G$5*((Massenstromrechnung!$K$3+AG7)/2)^Konstanten!$H$5*(Konstanten!$C$5-((Massenstromrechnung!$K$3-AG7)^Konstanten!$I$5*Konstanten!$D$5))/(Massenstromrechnung!$L17*Konstanten!$K$3/3.6)+Massenstromrechnung!$K$3</f>
        <v>65</v>
      </c>
      <c r="AI7" s="103">
        <f>-1*((Massenstromrechnung!$K$3+AH7)/2-Massenstromrechnung!$K$4)^Konstanten!$E$5*$AA7*$AB7^Konstanten!$F$5*(Massenstromrechnung!$K$3-AH7)^Konstanten!$G$5*((Massenstromrechnung!$K$3+AH7)/2)^Konstanten!$H$5*(Konstanten!$C$5-((Massenstromrechnung!$K$3-AH7)^Konstanten!$I$5*Konstanten!$D$5))/(Massenstromrechnung!$L17*Konstanten!$K$3/3.6)+Massenstromrechnung!$K$3</f>
        <v>65</v>
      </c>
      <c r="AK7">
        <f t="shared" si="9"/>
        <v>710</v>
      </c>
      <c r="AL7">
        <f t="shared" si="9"/>
        <v>1205</v>
      </c>
      <c r="AM7" s="103">
        <f>Massenstromrechnung!$X$3+2</f>
        <v>9</v>
      </c>
      <c r="AN7" s="103" t="str">
        <f>IF(OR(Massenstromrechnung!$Y$6&lt;(AM7*50+Massenstromrechnung!$X$3)/51,(Massenstromrechnung!$Y$6-(AM7*51+Massenstromrechnung!$X$3)/51)&lt;0.7),"trocken","feucht")</f>
        <v>feucht</v>
      </c>
      <c r="AO7" s="104">
        <f>(Massenstromrechnung!$X$4-(Massenstromrechnung!$X$3+AM7)/2)^Konstanten!$E$6*$AK7*$AL7^Konstanten!$F$6*(AM7-Massenstromrechnung!$X$3)^Konstanten!$G$6*((Massenstromrechnung!$X$3+AM7)/2)^Konstanten!$H$6*(Konstanten!$C$6-(AM7-Massenstromrechnung!$X$3)^Konstanten!$I$6*Konstanten!$D$6)</f>
        <v>1461.8807794954355</v>
      </c>
      <c r="AP7" s="104">
        <f>IF(AN7="trocken",AO7,IF(Konstanten!$A$18*(Massenstromrechnung!$Y$6^Konstanten!$B$18*(Massenstromrechnung!$X$4-(Iteration!AM7+Massenstromrechnung!$X$3)/2)^Konstanten!$C$18*AO7^Konstanten!$D$18*((Massenstromrechnung!$X$3+Iteration!AM7)/2)^Konstanten!$E$18+(Iteration!AM7-Massenstromrechnung!$X$3)^Konstanten!$F$18)&lt;1,AO7,AO7*Konstanten!$A$18*(Massenstromrechnung!$Y$6^Konstanten!$B$18*(Massenstromrechnung!$X$4-(Iteration!AM7+Massenstromrechnung!$X$3)/2)^Konstanten!$C$18*AO7^Konstanten!$D$18*((Massenstromrechnung!$X$3+Iteration!AM7)/2)^Konstanten!$E$18+(Iteration!AM7-Massenstromrechnung!$X$3)^Konstanten!$F$18)))</f>
        <v>2164.5931382137828</v>
      </c>
      <c r="AQ7" s="101">
        <f>AP7/(Massenstromrechnung!$R17*Konstanten!$K$3/3.6)+Massenstromrechnung!$X$3</f>
        <v>13.218317235609895</v>
      </c>
      <c r="AR7" s="103" t="str">
        <f>IF(OR(Massenstromrechnung!$Y$6&lt;(AQ7*50+Massenstromrechnung!$X$3)/51,(Massenstromrechnung!$Y$6-(AQ7*51+Massenstromrechnung!$X$3)/51)&lt;0.7),"trocken","feucht")</f>
        <v>feucht</v>
      </c>
      <c r="AS7" s="104">
        <f>(Massenstromrechnung!$X$4-(Massenstromrechnung!$X$3+AQ7)/2)^Konstanten!$E$6*$AK7*$AL7^Konstanten!$F$6*(AQ7-Massenstromrechnung!$X$3)^Konstanten!$G$6*((Massenstromrechnung!$X$3+AQ7)/2)^Konstanten!$H$6*(Konstanten!$C$6-(AQ7-Massenstromrechnung!$X$3)^Konstanten!$I$6*Konstanten!$D$6)</f>
        <v>1221.3524534947032</v>
      </c>
      <c r="AT7" s="104">
        <f>IF(AR7="trocken",AS7,IF(Konstanten!$A$18*(Massenstromrechnung!$Y$6^Konstanten!$B$18*(Massenstromrechnung!$X$4-(Iteration!AQ7+Massenstromrechnung!$X$3)/2)^Konstanten!$C$18*AS7^Konstanten!$D$18*((Massenstromrechnung!$X$3+Iteration!AQ7)/2)^Konstanten!$E$18+(Iteration!AQ7-Massenstromrechnung!$X$3)^Konstanten!$F$18)&lt;1,AS7,AS7*Konstanten!$A$18*(Massenstromrechnung!$Y$6^Konstanten!$B$18*(Massenstromrechnung!$X$4-(Iteration!AQ7+Massenstromrechnung!$X$3)/2)^Konstanten!$C$18*AS7^Konstanten!$D$18*((Massenstromrechnung!$X$3+Iteration!AQ7)/2)^Konstanten!$E$18+(Iteration!AQ7-Massenstromrechnung!$X$3)^Konstanten!$F$18)))</f>
        <v>1599.579429556183</v>
      </c>
      <c r="AU7" s="101">
        <f>AT7/(Massenstromrechnung!$R17*Konstanten!$K$3/3.6)+Massenstromrechnung!$X$3</f>
        <v>11.595178724785317</v>
      </c>
      <c r="AV7" s="103" t="str">
        <f>IF(OR(Massenstromrechnung!$Y$6&lt;(AU7*50+Massenstromrechnung!$X$3)/51,(Massenstromrechnung!$Y$6-(AU7*51+Massenstromrechnung!$X$3)/51)&lt;0.7),"trocken","feucht")</f>
        <v>feucht</v>
      </c>
      <c r="AW7" s="104">
        <f>(Massenstromrechnung!$X$4-(Massenstromrechnung!$X$3+AU7)/2)^Konstanten!$E$6*$AK7*$AL7^Konstanten!$F$6*(AU7-Massenstromrechnung!$X$3)^Konstanten!$G$6*((Massenstromrechnung!$X$3+AU7)/2)^Konstanten!$H$6*(Konstanten!$C$6-(AU7-Massenstromrechnung!$X$3)^Konstanten!$I$6*Konstanten!$D$6)</f>
        <v>1318.5826884983992</v>
      </c>
      <c r="AX7" s="104">
        <f>IF(AV7="trocken",AW7,IF(Konstanten!$A$18*(Massenstromrechnung!$Y$6^Konstanten!$B$18*(Massenstromrechnung!$X$4-(Iteration!AU7+Massenstromrechnung!$X$3)/2)^Konstanten!$C$18*AW7^Konstanten!$D$18*((Massenstromrechnung!$X$3+Iteration!AU7)/2)^Konstanten!$E$18+(Iteration!AU7-Massenstromrechnung!$X$3)^Konstanten!$F$18)&lt;1,AW7,AW7*Konstanten!$A$18*(Massenstromrechnung!$Y$6^Konstanten!$B$18*(Massenstromrechnung!$X$4-(Iteration!AU7+Massenstromrechnung!$X$3)/2)^Konstanten!$C$18*AW7^Konstanten!$D$18*((Massenstromrechnung!$X$3+Iteration!AU7)/2)^Konstanten!$E$18+(Iteration!AU7-Massenstromrechnung!$X$3)^Konstanten!$F$18)))</f>
        <v>1791.9402052101207</v>
      </c>
      <c r="AY7" s="101">
        <f>AX7/(Massenstromrechnung!$R17*Konstanten!$K$3/3.6)+Massenstromrechnung!$X$3</f>
        <v>12.147781569905318</v>
      </c>
      <c r="AZ7" s="103" t="str">
        <f>IF(OR(Massenstromrechnung!$Y$6&lt;(AY7*50+Massenstromrechnung!$X$3)/51,(Massenstromrechnung!$Y$6-(AY7*51+Massenstromrechnung!$X$3)/51)&lt;0.7),"trocken","feucht")</f>
        <v>feucht</v>
      </c>
      <c r="BA7" s="104">
        <f>(Massenstromrechnung!$X$4-(Massenstromrechnung!$X$3+AY7)/2)^Konstanten!$E$6*$AK7*$AL7^Konstanten!$F$6*(AY7-Massenstromrechnung!$X$3)^Konstanten!$G$6*((Massenstromrechnung!$X$3+AY7)/2)^Konstanten!$H$6*(Konstanten!$C$6-(AY7-Massenstromrechnung!$X$3)^Konstanten!$I$6*Konstanten!$D$6)</f>
        <v>1284.5316282841648</v>
      </c>
      <c r="BB7" s="104">
        <f>IF(AZ7="trocken",BA7,IF(Konstanten!$A$18*(Massenstromrechnung!$Y$6^Konstanten!$B$18*(Massenstromrechnung!$X$4-(Iteration!AY7+Massenstromrechnung!$X$3)/2)^Konstanten!$C$18*BA7^Konstanten!$D$18*((Massenstromrechnung!$X$3+Iteration!AY7)/2)^Konstanten!$E$18+(Iteration!AY7-Massenstromrechnung!$X$3)^Konstanten!$F$18)&lt;1,BA7,BA7*Konstanten!$A$18*(Massenstromrechnung!$Y$6^Konstanten!$B$18*(Massenstromrechnung!$X$4-(Iteration!AY7+Massenstromrechnung!$X$3)/2)^Konstanten!$C$18*BA7^Konstanten!$D$18*((Massenstromrechnung!$X$3+Iteration!AY7)/2)^Konstanten!$E$18+(Iteration!AY7-Massenstromrechnung!$X$3)^Konstanten!$F$18)))</f>
        <v>1722.3205925423861</v>
      </c>
      <c r="BC7" s="101">
        <f>BB7/(Massenstromrechnung!$R17*Konstanten!$K$3/3.6)+Massenstromrechnung!$X$3</f>
        <v>11.947782396968133</v>
      </c>
      <c r="BD7" s="103" t="str">
        <f>IF(OR(Massenstromrechnung!$Y$6&lt;(BC7*50+Massenstromrechnung!$X$3)/51,(Massenstromrechnung!$Y$6-(BC7*51+Massenstromrechnung!$X$3)/51)&lt;0.7),"trocken","feucht")</f>
        <v>feucht</v>
      </c>
      <c r="BE7" s="104">
        <f>(Massenstromrechnung!$X$4-(Massenstromrechnung!$X$3+BC7)/2)^Konstanten!$E$6*$AK7*$AL7^Konstanten!$F$6*(BC7-Massenstromrechnung!$X$3)^Konstanten!$G$6*((Massenstromrechnung!$X$3+BC7)/2)^Konstanten!$H$6*(Konstanten!$C$6-(BC7-Massenstromrechnung!$X$3)^Konstanten!$I$6*Konstanten!$D$6)</f>
        <v>1296.7544699866528</v>
      </c>
      <c r="BF7" s="104">
        <f>IF(BD7="trocken",BE7,IF(Konstanten!$A$18*(Massenstromrechnung!$Y$6^Konstanten!$B$18*(Massenstromrechnung!$X$4-(Iteration!BC7+Massenstromrechnung!$X$3)/2)^Konstanten!$C$18*BE7^Konstanten!$D$18*((Massenstromrechnung!$X$3+Iteration!BC7)/2)^Konstanten!$E$18+(Iteration!BC7-Massenstromrechnung!$X$3)^Konstanten!$F$18)&lt;1,BE7,BE7*Konstanten!$A$18*(Massenstromrechnung!$Y$6^Konstanten!$B$18*(Massenstromrechnung!$X$4-(Iteration!BC7+Massenstromrechnung!$X$3)/2)^Konstanten!$C$18*BE7^Konstanten!$D$18*((Massenstromrechnung!$X$3+Iteration!BC7)/2)^Konstanten!$E$18+(Iteration!BC7-Massenstromrechnung!$X$3)^Konstanten!$F$18)))</f>
        <v>1746.9962071247085</v>
      </c>
      <c r="BG7" s="101">
        <f>BF7/(Massenstromrechnung!$R17*Konstanten!$K$3/3.6)+Massenstromrechnung!$X$3</f>
        <v>12.018669066960602</v>
      </c>
      <c r="BH7" s="103" t="str">
        <f>IF(OR(Massenstromrechnung!$Y$6&lt;(BG7*50+Massenstromrechnung!$X$3)/51,(Massenstromrechnung!$Y$6-(BG7*51+Massenstromrechnung!$X$3)/51)&lt;0.7),"trocken","feucht")</f>
        <v>feucht</v>
      </c>
      <c r="BI7" s="104">
        <f>(Massenstromrechnung!$X$4-(Massenstromrechnung!$X$3+BG7)/2)^Konstanten!$E$6*$AK7*$AL7^Konstanten!$F$6*(BG7-Massenstromrechnung!$X$3)^Konstanten!$G$6*((Massenstromrechnung!$X$3+BG7)/2)^Konstanten!$H$6*(Konstanten!$C$6-(BG7-Massenstromrechnung!$X$3)^Konstanten!$I$6*Konstanten!$D$6)</f>
        <v>1292.4083027269749</v>
      </c>
      <c r="BJ7" s="104">
        <f>IF(BH7="trocken",BI7,IF(Konstanten!$A$18*(Massenstromrechnung!$Y$6^Konstanten!$B$18*(Massenstromrechnung!$X$4-(Iteration!BG7+Massenstromrechnung!$X$3)/2)^Konstanten!$C$18*BI7^Konstanten!$D$18*((Massenstromrechnung!$X$3+Iteration!BG7)/2)^Konstanten!$E$18+(Iteration!BG7-Massenstromrechnung!$X$3)^Konstanten!$F$18)&lt;1,BI7,BI7*Konstanten!$A$18*(Massenstromrechnung!$Y$6^Konstanten!$B$18*(Massenstromrechnung!$X$4-(Iteration!BG7+Massenstromrechnung!$X$3)/2)^Konstanten!$C$18*BI7^Konstanten!$D$18*((Massenstromrechnung!$X$3+Iteration!BG7)/2)^Konstanten!$E$18+(Iteration!BG7-Massenstromrechnung!$X$3)^Konstanten!$F$18)))</f>
        <v>1738.1837560509023</v>
      </c>
      <c r="BK7" s="101">
        <f>IF(BJ7/(Massenstromrechnung!$R17*Konstanten!$K$3/3.6)+Massenstromrechnung!$X$3-Massenstromrechnung!$X$3&lt;1.4,"RLT zu niedrig",BJ7/(Massenstromrechnung!$R17*Konstanten!$K$3/3.6)+Massenstromrechnung!$X$3)</f>
        <v>11.993353170207165</v>
      </c>
      <c r="BL7" s="103" t="str">
        <f>IF(BK7="RLT zu niedrig","RLT zu niedrig",IF(OR(Massenstromrechnung!$Y$6&lt;(BK7*50+Massenstromrechnung!$X$3)/51,(Massenstromrechnung!$Y$6-(BK7*51+Massenstromrechnung!$X$3)/51)&lt;0.7),"trocken","feucht"))</f>
        <v>feucht</v>
      </c>
      <c r="BM7" s="104">
        <f>IF(BK7="RLT zu niedrig","RLT zu niedrig",(Massenstromrechnung!$X$4-(Massenstromrechnung!$X$3+BK7)/2)^Konstanten!$E$6*$AK7*$AL7^Konstanten!$F$6*(BK7-Massenstromrechnung!$X$3)^Konstanten!$G$6*((Massenstromrechnung!$X$3+BK7)/2)^Konstanten!$H$6*(Konstanten!$C$6-(BK7-Massenstromrechnung!$X$3)^Konstanten!$I$6*Konstanten!$D$6))</f>
        <v>1293.958730212046</v>
      </c>
      <c r="BN7" s="104">
        <f>IF(BK7="RLT zu niedrig","RLT zu niedrig",IF(BL7="trocken",BM7,IF(Konstanten!$A$18*(Massenstromrechnung!$Y$6^Konstanten!$B$18*(Massenstromrechnung!$X$4-(Iteration!BK7+Massenstromrechnung!$X$3)/2)^Konstanten!$C$18*BM7^Konstanten!$D$18*((Massenstromrechnung!$X$3+Iteration!BK7)/2)^Konstanten!$E$18+(Iteration!BK7-Massenstromrechnung!$X$3)^Konstanten!$F$18)&lt;1,BM7,BM7*Konstanten!$A$18*(Massenstromrechnung!$Y$6^Konstanten!$B$18*(Massenstromrechnung!$X$4-(Iteration!BK7+Massenstromrechnung!$X$3)/2)^Konstanten!$C$18*BM7^Konstanten!$D$18*((Massenstromrechnung!$X$3+Iteration!BK7)/2)^Konstanten!$E$18+(Iteration!BK7-Massenstromrechnung!$X$3)^Konstanten!$F$18))))</f>
        <v>1741.3225205920924</v>
      </c>
      <c r="BO7" s="101"/>
      <c r="BP7">
        <f t="shared" si="10"/>
        <v>710</v>
      </c>
      <c r="BQ7">
        <f t="shared" si="10"/>
        <v>1205</v>
      </c>
      <c r="BR7" s="103">
        <f>Massenstromrechnung!$X$3+2</f>
        <v>9</v>
      </c>
      <c r="BS7" s="103" t="str">
        <f>IF(OR(Massenstromrechnung!$Y$6&lt;(BR7*50+Massenstromrechnung!$X$3)/51,(Massenstromrechnung!$Y$6-(BR7*51+Massenstromrechnung!$X$3)/51)&lt;0.7),"trocken","feucht")</f>
        <v>feucht</v>
      </c>
      <c r="BT7" s="104">
        <f>(Massenstromrechnung!$X$4-(Massenstromrechnung!$X$3+BR7)/2)^Konstanten!$E$7*$AK7*$AL7^Konstanten!$F$7*(BR7-Massenstromrechnung!$X$3)^Konstanten!$G$7*((Massenstromrechnung!$X$3+BR7)/2)^Konstanten!$H$7*(Konstanten!$C$7-(BR7-Massenstromrechnung!$X$3)^Konstanten!$I$7*Konstanten!$D$7)</f>
        <v>1578.5298193557005</v>
      </c>
      <c r="BU7" s="104">
        <f>IF(BS7="trocken",BT7,IF(Konstanten!$A$18*(Massenstromrechnung!$Y$6^Konstanten!$B$18*(Massenstromrechnung!$X$4-(Iteration!BR7+Massenstromrechnung!$X$3)/2)^Konstanten!$C$18*BT7^Konstanten!$D$18*((Massenstromrechnung!$X$3+Iteration!BR7)/2)^Konstanten!$E$18+(Iteration!BR7-Massenstromrechnung!$X$3)^Konstanten!$F$18)&lt;1,BT7,BT7*Konstanten!$A$18*(Massenstromrechnung!$Y$6^Konstanten!$B$18*(Massenstromrechnung!$X$4-(Iteration!BR7+Massenstromrechnung!$X$3)/2)^Konstanten!$C$18*BT7^Konstanten!$D$18*((Massenstromrechnung!$X$3+Iteration!BR7)/2)^Konstanten!$E$18+(Iteration!BR7-Massenstromrechnung!$X$3)^Konstanten!$F$18)))</f>
        <v>2332.1290824900539</v>
      </c>
      <c r="BV7" s="101">
        <f>BU7/(Massenstromrechnung!$AA17*Konstanten!$K$3/3.6)+Massenstromrechnung!$X$3</f>
        <v>13.896179162199809</v>
      </c>
      <c r="BW7" s="103" t="str">
        <f>IF(OR(Massenstromrechnung!$Y$6&lt;(BV7*50+Massenstromrechnung!$X$3)/51,(Massenstromrechnung!$Y$6-(BV7*51+Massenstromrechnung!$X$3)/51)&lt;0.7),"trocken","feucht")</f>
        <v>feucht</v>
      </c>
      <c r="BX7" s="104">
        <f>(Massenstromrechnung!$X$4-(Massenstromrechnung!$X$3+BV7)/2)^Konstanten!$E$7*$AK7*$AL7^Konstanten!$F$7*(BV7-Massenstromrechnung!$X$3)^Konstanten!$G$7*((Massenstromrechnung!$X$3+BV7)/2)^Konstanten!$H$7*(Konstanten!$C$7-(BV7-Massenstromrechnung!$X$3)^Konstanten!$I$7*Konstanten!$D$7)</f>
        <v>1128.3091207847035</v>
      </c>
      <c r="BY7" s="104">
        <f>IF(BW7="trocken",BX7,IF(Konstanten!$A$18*(Massenstromrechnung!$Y$6^Konstanten!$B$18*(Massenstromrechnung!$X$4-(Iteration!BV7+Massenstromrechnung!$X$3)/2)^Konstanten!$C$18*BX7^Konstanten!$D$18*((Massenstromrechnung!$X$3+Iteration!BV7)/2)^Konstanten!$E$18+(Iteration!BV7-Massenstromrechnung!$X$3)^Konstanten!$F$18)&lt;1,BX7,BX7*Konstanten!$A$18*(Massenstromrechnung!$Y$6^Konstanten!$B$18*(Massenstromrechnung!$X$4-(Iteration!BV7+Massenstromrechnung!$X$3)/2)^Konstanten!$C$18*BX7^Konstanten!$D$18*((Massenstromrechnung!$X$3+Iteration!BV7)/2)^Konstanten!$E$18+(Iteration!BV7-Massenstromrechnung!$X$3)^Konstanten!$F$18)))</f>
        <v>1460.1200467963706</v>
      </c>
      <c r="BZ7" s="101">
        <f>BY7/(Massenstromrechnung!$AA17*Konstanten!$K$3/3.6)+Massenstromrechnung!$X$3</f>
        <v>11.317620974168477</v>
      </c>
      <c r="CA7" s="103" t="str">
        <f>IF(OR(Massenstromrechnung!$Y$6&lt;(BZ7*50+Massenstromrechnung!$X$3)/51,(Massenstromrechnung!$Y$6-(BZ7*51+Massenstromrechnung!$X$3)/51)&lt;0.7),"trocken","feucht")</f>
        <v>feucht</v>
      </c>
      <c r="CB7" s="104">
        <f>(Massenstromrechnung!$X$4-(Massenstromrechnung!$X$3+BZ7)/2)^Konstanten!$E$7*$AK7*$AL7^Konstanten!$F$7*(BZ7-Massenstromrechnung!$X$3)^Konstanten!$G$7*((Massenstromrechnung!$X$3+BZ7)/2)^Konstanten!$H$7*(Konstanten!$C$7-(BZ7-Massenstromrechnung!$X$3)^Konstanten!$I$7*Konstanten!$D$7)</f>
        <v>1310.3742727829631</v>
      </c>
      <c r="CC7" s="104">
        <f>IF(CA7="trocken",CB7,IF(Konstanten!$A$18*(Massenstromrechnung!$Y$6^Konstanten!$B$18*(Massenstromrechnung!$X$4-(Iteration!BZ7+Massenstromrechnung!$X$3)/2)^Konstanten!$C$18*CB7^Konstanten!$D$18*((Massenstromrechnung!$X$3+Iteration!BZ7)/2)^Konstanten!$E$18+(Iteration!BZ7-Massenstromrechnung!$X$3)^Konstanten!$F$18)&lt;1,CB7,CB7*Konstanten!$A$18*(Massenstromrechnung!$Y$6^Konstanten!$B$18*(Massenstromrechnung!$X$4-(Iteration!BZ7+Massenstromrechnung!$X$3)/2)^Konstanten!$C$18*CB7^Konstanten!$D$18*((Massenstromrechnung!$X$3+Iteration!BZ7)/2)^Konstanten!$E$18+(Iteration!BZ7-Massenstromrechnung!$X$3)^Konstanten!$F$18)))</f>
        <v>1794.6377017122998</v>
      </c>
      <c r="CD7" s="101">
        <f>CC7/(Massenstromrechnung!$AA17*Konstanten!$K$3/3.6)+Massenstromrechnung!$X$3</f>
        <v>12.306800217521538</v>
      </c>
      <c r="CE7" s="103" t="str">
        <f>IF(OR(Massenstromrechnung!$Y$6&lt;(CD7*50+Massenstromrechnung!$X$3)/51,(Massenstromrechnung!$Y$6-(CD7*51+Massenstromrechnung!$X$3)/51)&lt;0.7),"trocken","feucht")</f>
        <v>feucht</v>
      </c>
      <c r="CF7" s="104">
        <f>(Massenstromrechnung!$X$4-(Massenstromrechnung!$X$3+CD7)/2)^Konstanten!$E$7*$AK7*$AL7^Konstanten!$F$7*(CD7-Massenstromrechnung!$X$3)^Konstanten!$G$7*((Massenstromrechnung!$X$3+CD7)/2)^Konstanten!$H$7*(Konstanten!$C$7-(CD7-Massenstromrechnung!$X$3)^Konstanten!$I$7*Konstanten!$D$7)</f>
        <v>1232.7992382563505</v>
      </c>
      <c r="CG7" s="104">
        <f>IF(CE7="trocken",CF7,IF(Konstanten!$A$18*(Massenstromrechnung!$Y$6^Konstanten!$B$18*(Massenstromrechnung!$X$4-(Iteration!CD7+Massenstromrechnung!$X$3)/2)^Konstanten!$C$18*CF7^Konstanten!$D$18*((Massenstromrechnung!$X$3+Iteration!CD7)/2)^Konstanten!$E$18+(Iteration!CD7-Massenstromrechnung!$X$3)^Konstanten!$F$18)&lt;1,CF7,CF7*Konstanten!$A$18*(Massenstromrechnung!$Y$6^Konstanten!$B$18*(Massenstromrechnung!$X$4-(Iteration!CD7+Massenstromrechnung!$X$3)/2)^Konstanten!$C$18*CF7^Konstanten!$D$18*((Massenstromrechnung!$X$3+Iteration!CD7)/2)^Konstanten!$E$18+(Iteration!CD7-Massenstromrechnung!$X$3)^Konstanten!$F$18)))</f>
        <v>1648.5150636309374</v>
      </c>
      <c r="CH7" s="101">
        <f>CG7/(Massenstromrechnung!$AA17*Konstanten!$K$3/3.6)+Massenstromrechnung!$X$3</f>
        <v>11.874710973650682</v>
      </c>
      <c r="CI7" s="103" t="str">
        <f>IF(OR(Massenstromrechnung!$Y$6&lt;(CH7*50+Massenstromrechnung!$X$3)/51,(Massenstromrechnung!$Y$6-(CH7*51+Massenstromrechnung!$X$3)/51)&lt;0.7),"trocken","feucht")</f>
        <v>feucht</v>
      </c>
      <c r="CJ7" s="104">
        <f>(Massenstromrechnung!$X$4-(Massenstromrechnung!$X$3+CH7)/2)^Konstanten!$E$7*$AK7*$AL7^Konstanten!$F$7*(CH7-Massenstromrechnung!$X$3)^Konstanten!$G$7*((Massenstromrechnung!$X$3+CH7)/2)^Konstanten!$H$7*(Konstanten!$C$7-(CH7-Massenstromrechnung!$X$3)^Konstanten!$I$7*Konstanten!$D$7)</f>
        <v>1265.1694842020256</v>
      </c>
      <c r="CK7" s="104">
        <f>IF(CI7="trocken",CJ7,IF(Konstanten!$A$18*(Massenstromrechnung!$Y$6^Konstanten!$B$18*(Massenstromrechnung!$X$4-(Iteration!CH7+Massenstromrechnung!$X$3)/2)^Konstanten!$C$18*CJ7^Konstanten!$D$18*((Massenstromrechnung!$X$3+Iteration!CH7)/2)^Konstanten!$E$18+(Iteration!CH7-Massenstromrechnung!$X$3)^Konstanten!$F$18)&lt;1,CJ7,CJ7*Konstanten!$A$18*(Massenstromrechnung!$Y$6^Konstanten!$B$18*(Massenstromrechnung!$X$4-(Iteration!CH7+Massenstromrechnung!$X$3)/2)^Konstanten!$C$18*CJ7^Konstanten!$D$18*((Massenstromrechnung!$X$3+Iteration!CH7)/2)^Konstanten!$E$18+(Iteration!CH7-Massenstromrechnung!$X$3)^Konstanten!$F$18)))</f>
        <v>1708.8925307310458</v>
      </c>
      <c r="CL7" s="101">
        <f>CK7/(Massenstromrechnung!$AA17*Konstanten!$K$3/3.6)+Massenstromrechnung!$X$3</f>
        <v>12.053249045839038</v>
      </c>
      <c r="CM7" s="103" t="str">
        <f>IF(OR(Massenstromrechnung!$Y$6&lt;(CL7*50+Massenstromrechnung!$X$3)/51,(Massenstromrechnung!$Y$6-(CL7*51+Massenstromrechnung!$X$3)/51)&lt;0.7),"trocken","feucht")</f>
        <v>feucht</v>
      </c>
      <c r="CN7" s="104">
        <f>(Massenstromrechnung!$X$4-(Massenstromrechnung!$X$3+CL7)/2)^Konstanten!$E$7*$AK7*$AL7^Konstanten!$F$7*(CL7-Massenstromrechnung!$X$3)^Konstanten!$G$7*((Massenstromrechnung!$X$3+CL7)/2)^Konstanten!$H$7*(Konstanten!$C$7-(CL7-Massenstromrechnung!$X$3)^Konstanten!$I$7*Konstanten!$D$7)</f>
        <v>1251.538260625724</v>
      </c>
      <c r="CO7" s="104">
        <f>IF(CM7="trocken",CN7,IF(Konstanten!$A$18*(Massenstromrechnung!$Y$6^Konstanten!$B$18*(Massenstromrechnung!$X$4-(Iteration!CL7+Massenstromrechnung!$X$3)/2)^Konstanten!$C$18*CN7^Konstanten!$D$18*((Massenstromrechnung!$X$3+Iteration!CL7)/2)^Konstanten!$E$18+(Iteration!CL7-Massenstromrechnung!$X$3)^Konstanten!$F$18)&lt;1,CN7,CN7*Konstanten!$A$18*(Massenstromrechnung!$Y$6^Konstanten!$B$18*(Massenstromrechnung!$X$4-(Iteration!CL7+Massenstromrechnung!$X$3)/2)^Konstanten!$C$18*CN7^Konstanten!$D$18*((Massenstromrechnung!$X$3+Iteration!CL7)/2)^Konstanten!$E$18+(Iteration!CL7-Massenstromrechnung!$X$3)^Konstanten!$F$18)))</f>
        <v>1683.3594279987913</v>
      </c>
      <c r="CP7" s="101">
        <f>IF(CO7/(Massenstromrechnung!$AA17*Konstanten!$K$3/3.6)+Massenstromrechnung!$X$3-Massenstromrechnung!$X$3&lt;1.4,"RLT zu niedrig",CO7/(Massenstromrechnung!$AA17*Konstanten!$K$3/3.6)+Massenstromrechnung!$X$3)</f>
        <v>11.977746856731873</v>
      </c>
      <c r="CQ7" s="103" t="str">
        <f>IF(CP7="RLT zu niedrig","RLT zu niedrig",IF(OR(Massenstromrechnung!$Y$6&lt;(CP7*50+Massenstromrechnung!$X$3)/51,(Massenstromrechnung!$Y$6-(CP7*51+Massenstromrechnung!$X$3)/51)&lt;0.7),"trocken","feucht"))</f>
        <v>feucht</v>
      </c>
      <c r="CR7" s="104">
        <f>IF(CP7="RLT zu niedrig","RLT zu niedrig",(Massenstromrechnung!$X$4-(Massenstromrechnung!$X$3+CP7)/2)^Konstanten!$E$7*$AK7*$AL7^Konstanten!$F$7*(CP7-Massenstromrechnung!$X$3)^Konstanten!$G$7*((Massenstromrechnung!$X$3+CP7)/2)^Konstanten!$H$7*(Konstanten!$C$7-(CP7-Massenstromrechnung!$X$3)^Konstanten!$I$7*Konstanten!$D$7))</f>
        <v>1257.2567975851648</v>
      </c>
      <c r="CS7" s="104">
        <f>IF(CP7="RLT zu niedrig","RLT zu niedrig",IF(CQ7="trocken",CR7,IF(Konstanten!$A$18*(Massenstromrechnung!$Y$6^Konstanten!$B$18*(Massenstromrechnung!$X$4-(Iteration!CP7+Massenstromrechnung!$X$3)/2)^Konstanten!$C$18*CR7^Konstanten!$D$18*((Massenstromrechnung!$X$3+Iteration!CP7)/2)^Konstanten!$E$18+(Iteration!CP7-Massenstromrechnung!$X$3)^Konstanten!$F$18)&lt;1,CR7,CR7*Konstanten!$A$18*(Massenstromrechnung!$Y$6^Konstanten!$B$18*(Massenstromrechnung!$X$4-(Iteration!CP7+Massenstromrechnung!$X$3)/2)^Konstanten!$C$18*CR7^Konstanten!$D$18*((Massenstromrechnung!$X$3+Iteration!CP7)/2)^Konstanten!$E$18+(Iteration!CP7-Massenstromrechnung!$X$3)^Konstanten!$F$18))))</f>
        <v>1694.0521809605245</v>
      </c>
    </row>
    <row r="8" spans="1:97" x14ac:dyDescent="0.3">
      <c r="A8">
        <f>Massenstromrechnung!B18</f>
        <v>710</v>
      </c>
      <c r="B8" s="27">
        <v>985</v>
      </c>
      <c r="C8" s="103">
        <f>IF(Massenstromrechnung!$K$3-10&lt;=Massenstromrechnung!$K$4,Massenstromrechnung!$K$3-0.75*(Massenstromrechnung!$K$3-Massenstromrechnung!$K$4),Massenstromrechnung!$K$3-10)</f>
        <v>65</v>
      </c>
      <c r="D8" s="103">
        <f>-1*((Massenstromrechnung!$K$3+C8)/2-Massenstromrechnung!$K$4)^Konstanten!$E$4*Massenstromrechnung!$B18*Massenstromrechnung!$C18^Konstanten!$F$4*(Massenstromrechnung!$K$3-C8)^Konstanten!$G$4*((Massenstromrechnung!$K$3+C8)/2)^Konstanten!$H$4*(Konstanten!$C$4-((Massenstromrechnung!$K$3-C8)^Konstanten!$I$4*Konstanten!$D$4))/(Massenstromrechnung!$F18*Konstanten!$K$3/3.6)+Massenstromrechnung!$K$3</f>
        <v>65</v>
      </c>
      <c r="E8" s="103">
        <f t="shared" si="6"/>
        <v>65</v>
      </c>
      <c r="F8" s="103">
        <f>-1*((Massenstromrechnung!$K$3+E8)/2-Massenstromrechnung!$K$4)^Konstanten!$E$4*Massenstromrechnung!$B18*Massenstromrechnung!$C18^Konstanten!$F$4*(Massenstromrechnung!$K$3-E8)^Konstanten!$G$4*((Massenstromrechnung!$K$3+E8)/2)^Konstanten!$H$4*(Konstanten!$C$4-((Massenstromrechnung!$K$3-E8)^Konstanten!$I$4*Konstanten!$D$4))/(Massenstromrechnung!$F18*Konstanten!$K$3/3.6)+Massenstromrechnung!$K$3</f>
        <v>65</v>
      </c>
      <c r="G8" s="103">
        <f t="shared" si="0"/>
        <v>65</v>
      </c>
      <c r="H8" s="103">
        <f>-1*((Massenstromrechnung!$K$3+G8)/2-Massenstromrechnung!$K$4)^Konstanten!$E$4*Massenstromrechnung!$B18*Massenstromrechnung!$C18^Konstanten!$F$4*(Massenstromrechnung!$K$3-G8)^Konstanten!$G$4*((Massenstromrechnung!$K$3+G8)/2)^Konstanten!$H$4*(Konstanten!$C$4-((Massenstromrechnung!$K$3-G8)^Konstanten!$I$4*Konstanten!$D$4))/(Massenstromrechnung!$F18*Konstanten!$K$3/3.6)+Massenstromrechnung!$K$3</f>
        <v>65</v>
      </c>
      <c r="I8" s="103">
        <f t="shared" si="1"/>
        <v>65</v>
      </c>
      <c r="J8" s="103">
        <f>-1*((Massenstromrechnung!$K$3+I8)/2-Massenstromrechnung!$K$4)^Konstanten!$E$4*Massenstromrechnung!$B18*Massenstromrechnung!$C18^Konstanten!$F$4*(Massenstromrechnung!$K$3-I8)^Konstanten!$G$4*((Massenstromrechnung!$K$3+I8)/2)^Konstanten!$H$4*(Konstanten!$C$4-((Massenstromrechnung!$K$3-I8)^Konstanten!$I$4*Konstanten!$D$4))/(Massenstromrechnung!$F18*Konstanten!$K$3/3.6)+Massenstromrechnung!$K$3</f>
        <v>65</v>
      </c>
      <c r="K8" s="103">
        <f t="shared" si="2"/>
        <v>65</v>
      </c>
      <c r="L8" s="103">
        <f>-1*((Massenstromrechnung!$K$3+K8)/2-Massenstromrechnung!$K$4)^Konstanten!$E$4*Massenstromrechnung!$B18*Massenstromrechnung!$C18^Konstanten!$F$4*(Massenstromrechnung!$K$3-K8)^Konstanten!$G$4*((Massenstromrechnung!$K$3+K8)/2)^Konstanten!$H$4*(Konstanten!$C$4-((Massenstromrechnung!$K$3-K8)^Konstanten!$I$4*Konstanten!$D$4))/(Massenstromrechnung!$F18*Konstanten!$K$3/3.6)+Massenstromrechnung!$K$3</f>
        <v>65</v>
      </c>
      <c r="N8">
        <f>'Katalogdaten M3G045'!B22</f>
        <v>710</v>
      </c>
      <c r="O8" s="27">
        <v>985</v>
      </c>
      <c r="P8" s="103">
        <f>IF(Massenstromrechnung!$K$3-10&lt;=Massenstromrechnung!$K$4,Massenstromrechnung!$K$3-0.75*(Massenstromrechnung!$K$3-Massenstromrechnung!$K$4),Massenstromrechnung!$K$3-10)</f>
        <v>65</v>
      </c>
      <c r="Q8" s="103" t="e">
        <f>-1*((Massenstromrechnung!$K$3+P8)/2-Massenstromrechnung!$K$4)^Konstanten!$E$4*Massenstromrechnung!$B18*Massenstromrechnung!$C18^Konstanten!$F$4*(Massenstromrechnung!$K$3-P8)^Konstanten!$G$4*((Massenstromrechnung!$K$3+P8)/2)^Konstanten!$H$4*(Konstanten!$C$4-((Massenstromrechnung!$K$3-P8)^Konstanten!$I$4*Konstanten!$D$4))/(Massenstromrechnung!#REF!*Konstanten!$K$3/3.6)+Massenstromrechnung!$K$3</f>
        <v>#REF!</v>
      </c>
      <c r="R8" s="103" t="e">
        <f t="shared" si="7"/>
        <v>#REF!</v>
      </c>
      <c r="S8" s="103" t="e">
        <f>-1*((Massenstromrechnung!$K$3+R8)/2-Massenstromrechnung!$K$4)^Konstanten!$E$4*Massenstromrechnung!$B18*Massenstromrechnung!$C18^Konstanten!$F$4*(Massenstromrechnung!$K$3-R8)^Konstanten!$G$4*((Massenstromrechnung!$K$3+R8)/2)^Konstanten!$H$4*(Konstanten!$C$4-((Massenstromrechnung!$K$3-R8)^Konstanten!$I$4*Konstanten!$D$4))/(Massenstromrechnung!#REF!*Konstanten!$K$3/3.6)+Massenstromrechnung!$K$3</f>
        <v>#REF!</v>
      </c>
      <c r="T8" s="103" t="e">
        <f t="shared" si="3"/>
        <v>#REF!</v>
      </c>
      <c r="U8" s="103" t="e">
        <f>-1*((Massenstromrechnung!$K$3+T8)/2-Massenstromrechnung!$K$4)^Konstanten!$E$4*Massenstromrechnung!$B18*Massenstromrechnung!$C18^Konstanten!$F$4*(Massenstromrechnung!$K$3-T8)^Konstanten!$G$4*((Massenstromrechnung!$K$3+T8)/2)^Konstanten!$H$4*(Konstanten!$C$4-((Massenstromrechnung!$K$3-T8)^Konstanten!$I$4*Konstanten!$D$4))/(Massenstromrechnung!#REF!*Konstanten!$K$3/3.6)+Massenstromrechnung!$K$3</f>
        <v>#REF!</v>
      </c>
      <c r="V8" s="103" t="e">
        <f t="shared" si="4"/>
        <v>#REF!</v>
      </c>
      <c r="W8" s="103" t="e">
        <f>-1*((Massenstromrechnung!$K$3+V8)/2-Massenstromrechnung!$K$4)^Konstanten!$E$4*Massenstromrechnung!$B18*Massenstromrechnung!$C18^Konstanten!$F$4*(Massenstromrechnung!$K$3-V8)^Konstanten!$G$4*((Massenstromrechnung!$K$3+V8)/2)^Konstanten!$H$4*(Konstanten!$C$4-((Massenstromrechnung!$K$3-V8)^Konstanten!$I$4*Konstanten!$D$4))/(Massenstromrechnung!#REF!*Konstanten!$K$3/3.6)+Massenstromrechnung!$K$3</f>
        <v>#REF!</v>
      </c>
      <c r="X8" s="103" t="e">
        <f t="shared" si="5"/>
        <v>#REF!</v>
      </c>
      <c r="Y8" s="103" t="e">
        <f>-1*((Massenstromrechnung!$K$3+X8)/2-Massenstromrechnung!$K$4)^Konstanten!$E$4*Massenstromrechnung!$B18*Massenstromrechnung!$C18^Konstanten!$F$4*(Massenstromrechnung!$K$3-X8)^Konstanten!$G$4*((Massenstromrechnung!$K$3+X8)/2)^Konstanten!$H$4*(Konstanten!$C$4-((Massenstromrechnung!$K$3-X8)^Konstanten!$I$4*Konstanten!$D$4))/(Massenstromrechnung!#REF!*Konstanten!$K$3/3.6)+Massenstromrechnung!$K$3</f>
        <v>#REF!</v>
      </c>
      <c r="AA8">
        <f t="shared" si="8"/>
        <v>710</v>
      </c>
      <c r="AB8">
        <f t="shared" si="8"/>
        <v>985</v>
      </c>
      <c r="AC8" s="103">
        <f>IF(Massenstromrechnung!$K$3-10&lt;=Massenstromrechnung!$K$4,Massenstromrechnung!$K$3-0.75*(Massenstromrechnung!$K$3-Massenstromrechnung!$K$4),Massenstromrechnung!$K$3-10)</f>
        <v>65</v>
      </c>
      <c r="AD8" s="103">
        <f>-1*((Massenstromrechnung!$K$3+AC8)/2-Massenstromrechnung!$K$4)^Konstanten!$E$5*$AA8*$AB8^Konstanten!$F$5*(Massenstromrechnung!$K$3-AC8)^Konstanten!$G$5*((Massenstromrechnung!$K$3+AC8)/2)^Konstanten!$H$5*(Konstanten!$C$5-((Massenstromrechnung!$K$3-AC8)^Konstanten!$I$5*Konstanten!$D$5))/(Massenstromrechnung!$L18*Konstanten!$K$3/3.6)+Massenstromrechnung!$K$3</f>
        <v>65</v>
      </c>
      <c r="AE8" s="103">
        <f>-1*((Massenstromrechnung!$K$3+AD8)/2-Massenstromrechnung!$K$4)^Konstanten!$E$5*$AA8*$AB8^Konstanten!$F$5*(Massenstromrechnung!$K$3-AD8)^Konstanten!$G$5*((Massenstromrechnung!$K$3+AD8)/2)^Konstanten!$H$5*(Konstanten!$C$5-((Massenstromrechnung!$K$3-AD8)^Konstanten!$I$5*Konstanten!$D$5))/(Massenstromrechnung!$L18*Konstanten!$K$3/3.6)+Massenstromrechnung!$K$3</f>
        <v>65</v>
      </c>
      <c r="AF8" s="103">
        <f>-1*((Massenstromrechnung!$K$3+AE8)/2-Massenstromrechnung!$K$4)^Konstanten!$E$5*$AA8*$AB8^Konstanten!$F$5*(Massenstromrechnung!$K$3-AE8)^Konstanten!$G$5*((Massenstromrechnung!$K$3+AE8)/2)^Konstanten!$H$5*(Konstanten!$C$5-((Massenstromrechnung!$K$3-AE8)^Konstanten!$I$5*Konstanten!$D$5))/(Massenstromrechnung!$L18*Konstanten!$K$3/3.6)+Massenstromrechnung!$K$3</f>
        <v>65</v>
      </c>
      <c r="AG8" s="103">
        <f>-1*((Massenstromrechnung!$K$3+AF8)/2-Massenstromrechnung!$K$4)^Konstanten!$E$5*$AA8*$AB8^Konstanten!$F$5*(Massenstromrechnung!$K$3-AF8)^Konstanten!$G$5*((Massenstromrechnung!$K$3+AF8)/2)^Konstanten!$H$5*(Konstanten!$C$5-((Massenstromrechnung!$K$3-AF8)^Konstanten!$I$5*Konstanten!$D$5))/(Massenstromrechnung!$L18*Konstanten!$K$3/3.6)+Massenstromrechnung!$K$3</f>
        <v>65</v>
      </c>
      <c r="AH8" s="103">
        <f>-1*((Massenstromrechnung!$K$3+AG8)/2-Massenstromrechnung!$K$4)^Konstanten!$E$5*$AA8*$AB8^Konstanten!$F$5*(Massenstromrechnung!$K$3-AG8)^Konstanten!$G$5*((Massenstromrechnung!$K$3+AG8)/2)^Konstanten!$H$5*(Konstanten!$C$5-((Massenstromrechnung!$K$3-AG8)^Konstanten!$I$5*Konstanten!$D$5))/(Massenstromrechnung!$L18*Konstanten!$K$3/3.6)+Massenstromrechnung!$K$3</f>
        <v>65</v>
      </c>
      <c r="AI8" s="103">
        <f>-1*((Massenstromrechnung!$K$3+AH8)/2-Massenstromrechnung!$K$4)^Konstanten!$E$5*$AA8*$AB8^Konstanten!$F$5*(Massenstromrechnung!$K$3-AH8)^Konstanten!$G$5*((Massenstromrechnung!$K$3+AH8)/2)^Konstanten!$H$5*(Konstanten!$C$5-((Massenstromrechnung!$K$3-AH8)^Konstanten!$I$5*Konstanten!$D$5))/(Massenstromrechnung!$L18*Konstanten!$K$3/3.6)+Massenstromrechnung!$K$3</f>
        <v>65</v>
      </c>
      <c r="AK8">
        <f t="shared" si="9"/>
        <v>710</v>
      </c>
      <c r="AL8">
        <f t="shared" si="9"/>
        <v>985</v>
      </c>
      <c r="AM8" s="103">
        <f>Massenstromrechnung!$X$3+2</f>
        <v>9</v>
      </c>
      <c r="AN8" s="103" t="str">
        <f>IF(OR(Massenstromrechnung!$Y$6&lt;(AM8*50+Massenstromrechnung!$X$3)/51,(Massenstromrechnung!$Y$6-(AM8*51+Massenstromrechnung!$X$3)/51)&lt;0.7),"trocken","feucht")</f>
        <v>feucht</v>
      </c>
      <c r="AO8" s="104">
        <f>(Massenstromrechnung!$X$4-(Massenstromrechnung!$X$3+AM8)/2)^Konstanten!$E$6*$AK8*$AL8^Konstanten!$F$6*(AM8-Massenstromrechnung!$X$3)^Konstanten!$G$6*((Massenstromrechnung!$X$3+AM8)/2)^Konstanten!$H$6*(Konstanten!$C$6-(AM8-Massenstromrechnung!$X$3)^Konstanten!$I$6*Konstanten!$D$6)</f>
        <v>1088.7346136429821</v>
      </c>
      <c r="AP8" s="104">
        <f>IF(AN8="trocken",AO8,IF(Konstanten!$A$18*(Massenstromrechnung!$Y$6^Konstanten!$B$18*(Massenstromrechnung!$X$4-(Iteration!AM8+Massenstromrechnung!$X$3)/2)^Konstanten!$C$18*AO8^Konstanten!$D$18*((Massenstromrechnung!$X$3+Iteration!AM8)/2)^Konstanten!$E$18+(Iteration!AM8-Massenstromrechnung!$X$3)^Konstanten!$F$18)&lt;1,AO8,AO8*Konstanten!$A$18*(Massenstromrechnung!$Y$6^Konstanten!$B$18*(Massenstromrechnung!$X$4-(Iteration!AM8+Massenstromrechnung!$X$3)/2)^Konstanten!$C$18*AO8^Konstanten!$D$18*((Massenstromrechnung!$X$3+Iteration!AM8)/2)^Konstanten!$E$18+(Iteration!AM8-Massenstromrechnung!$X$3)^Konstanten!$F$18)))</f>
        <v>1625.8873468921961</v>
      </c>
      <c r="AQ8" s="101">
        <f>AP8/(Massenstromrechnung!$R18*Konstanten!$K$3/3.6)+Massenstromrechnung!$X$3</f>
        <v>13.216790925395056</v>
      </c>
      <c r="AR8" s="103" t="str">
        <f>IF(OR(Massenstromrechnung!$Y$6&lt;(AQ8*50+Massenstromrechnung!$X$3)/51,(Massenstromrechnung!$Y$6-(AQ8*51+Massenstromrechnung!$X$3)/51)&lt;0.7),"trocken","feucht")</f>
        <v>feucht</v>
      </c>
      <c r="AS8" s="104">
        <f>(Massenstromrechnung!$X$4-(Massenstromrechnung!$X$3+AQ8)/2)^Konstanten!$E$6*$AK8*$AL8^Konstanten!$F$6*(AQ8-Massenstromrechnung!$X$3)^Konstanten!$G$6*((Massenstromrechnung!$X$3+AQ8)/2)^Konstanten!$H$6*(Konstanten!$C$6-(AQ8-Massenstromrechnung!$X$3)^Konstanten!$I$6*Konstanten!$D$6)</f>
        <v>909.66632844948026</v>
      </c>
      <c r="AT8" s="104">
        <f>IF(AR8="trocken",AS8,IF(Konstanten!$A$18*(Massenstromrechnung!$Y$6^Konstanten!$B$18*(Massenstromrechnung!$X$4-(Iteration!AQ8+Massenstromrechnung!$X$3)/2)^Konstanten!$C$18*AS8^Konstanten!$D$18*((Massenstromrechnung!$X$3+Iteration!AQ8)/2)^Konstanten!$E$18+(Iteration!AQ8-Massenstromrechnung!$X$3)^Konstanten!$F$18)&lt;1,AS8,AS8*Konstanten!$A$18*(Massenstromrechnung!$Y$6^Konstanten!$B$18*(Massenstromrechnung!$X$4-(Iteration!AQ8+Massenstromrechnung!$X$3)/2)^Konstanten!$C$18*AS8^Konstanten!$D$18*((Massenstromrechnung!$X$3+Iteration!AQ8)/2)^Konstanten!$E$18+(Iteration!AQ8-Massenstromrechnung!$X$3)^Konstanten!$F$18)))</f>
        <v>1201.9571286056066</v>
      </c>
      <c r="AU8" s="101">
        <f>AT8/(Massenstromrechnung!$R18*Konstanten!$K$3/3.6)+Massenstromrechnung!$X$3</f>
        <v>11.595838810180915</v>
      </c>
      <c r="AV8" s="103" t="str">
        <f>IF(OR(Massenstromrechnung!$Y$6&lt;(AU8*50+Massenstromrechnung!$X$3)/51,(Massenstromrechnung!$Y$6-(AU8*51+Massenstromrechnung!$X$3)/51)&lt;0.7),"trocken","feucht")</f>
        <v>feucht</v>
      </c>
      <c r="AW8" s="104">
        <f>(Massenstromrechnung!$X$4-(Massenstromrechnung!$X$3+AU8)/2)^Konstanten!$E$6*$AK8*$AL8^Konstanten!$F$6*(AU8-Massenstromrechnung!$X$3)^Konstanten!$G$6*((Massenstromrechnung!$X$3+AU8)/2)^Konstanten!$H$6*(Konstanten!$C$6-(AU8-Massenstromrechnung!$X$3)^Konstanten!$I$6*Konstanten!$D$6)</f>
        <v>981.98281288120711</v>
      </c>
      <c r="AX8" s="104">
        <f>IF(AV8="trocken",AW8,IF(Konstanten!$A$18*(Massenstromrechnung!$Y$6^Konstanten!$B$18*(Massenstromrechnung!$X$4-(Iteration!AU8+Massenstromrechnung!$X$3)/2)^Konstanten!$C$18*AW8^Konstanten!$D$18*((Massenstromrechnung!$X$3+Iteration!AU8)/2)^Konstanten!$E$18+(Iteration!AU8-Massenstromrechnung!$X$3)^Konstanten!$F$18)&lt;1,AW8,AW8*Konstanten!$A$18*(Massenstromrechnung!$Y$6^Konstanten!$B$18*(Massenstromrechnung!$X$4-(Iteration!AU8+Massenstromrechnung!$X$3)/2)^Konstanten!$C$18*AW8^Konstanten!$D$18*((Massenstromrechnung!$X$3+Iteration!AU8)/2)^Konstanten!$E$18+(Iteration!AU8-Massenstromrechnung!$X$3)^Konstanten!$F$18)))</f>
        <v>1346.2197974404544</v>
      </c>
      <c r="AY8" s="101">
        <f>AX8/(Massenstromrechnung!$R18*Konstanten!$K$3/3.6)+Massenstromrechnung!$X$3</f>
        <v>12.147445815549423</v>
      </c>
      <c r="AZ8" s="103" t="str">
        <f>IF(OR(Massenstromrechnung!$Y$6&lt;(AY8*50+Massenstromrechnung!$X$3)/51,(Massenstromrechnung!$Y$6-(AY8*51+Massenstromrechnung!$X$3)/51)&lt;0.7),"trocken","feucht")</f>
        <v>feucht</v>
      </c>
      <c r="BA8" s="104">
        <f>(Massenstromrechnung!$X$4-(Massenstromrechnung!$X$3+AY8)/2)^Konstanten!$E$6*$AK8*$AL8^Konstanten!$F$6*(AY8-Massenstromrechnung!$X$3)^Konstanten!$G$6*((Massenstromrechnung!$X$3+AY8)/2)^Konstanten!$H$6*(Konstanten!$C$6-(AY8-Massenstromrechnung!$X$3)^Konstanten!$I$6*Konstanten!$D$6)</f>
        <v>956.66917090504137</v>
      </c>
      <c r="BB8" s="104">
        <f>IF(AZ8="trocken",BA8,IF(Konstanten!$A$18*(Massenstromrechnung!$Y$6^Konstanten!$B$18*(Massenstromrechnung!$X$4-(Iteration!AY8+Massenstromrechnung!$X$3)/2)^Konstanten!$C$18*BA8^Konstanten!$D$18*((Massenstromrechnung!$X$3+Iteration!AY8)/2)^Konstanten!$E$18+(Iteration!AY8-Massenstromrechnung!$X$3)^Konstanten!$F$18)&lt;1,BA8,BA8*Konstanten!$A$18*(Massenstromrechnung!$Y$6^Konstanten!$B$18*(Massenstromrechnung!$X$4-(Iteration!AY8+Massenstromrechnung!$X$3)/2)^Konstanten!$C$18*BA8^Konstanten!$D$18*((Massenstromrechnung!$X$3+Iteration!AY8)/2)^Konstanten!$E$18+(Iteration!AY8-Massenstromrechnung!$X$3)^Konstanten!$F$18)))</f>
        <v>1294.0397136287681</v>
      </c>
      <c r="BC8" s="101">
        <f>BB8/(Massenstromrechnung!$R18*Konstanten!$K$3/3.6)+Massenstromrechnung!$X$3</f>
        <v>11.947928504496534</v>
      </c>
      <c r="BD8" s="103" t="str">
        <f>IF(OR(Massenstromrechnung!$Y$6&lt;(BC8*50+Massenstromrechnung!$X$3)/51,(Massenstromrechnung!$Y$6-(BC8*51+Massenstromrechnung!$X$3)/51)&lt;0.7),"trocken","feucht")</f>
        <v>feucht</v>
      </c>
      <c r="BE8" s="104">
        <f>(Massenstromrechnung!$X$4-(Massenstromrechnung!$X$3+BC8)/2)^Konstanten!$E$6*$AK8*$AL8^Konstanten!$F$6*(BC8-Massenstromrechnung!$X$3)^Konstanten!$G$6*((Massenstromrechnung!$X$3+BC8)/2)^Konstanten!$H$6*(Konstanten!$C$6-(BC8-Massenstromrechnung!$X$3)^Konstanten!$I$6*Konstanten!$D$6)</f>
        <v>965.75023556054157</v>
      </c>
      <c r="BF8" s="104">
        <f>IF(BD8="trocken",BE8,IF(Konstanten!$A$18*(Massenstromrechnung!$Y$6^Konstanten!$B$18*(Massenstromrechnung!$X$4-(Iteration!BC8+Massenstromrechnung!$X$3)/2)^Konstanten!$C$18*BE8^Konstanten!$D$18*((Massenstromrechnung!$X$3+Iteration!BC8)/2)^Konstanten!$E$18+(Iteration!BC8-Massenstromrechnung!$X$3)^Konstanten!$F$18)&lt;1,BE8,BE8*Konstanten!$A$18*(Massenstromrechnung!$Y$6^Konstanten!$B$18*(Massenstromrechnung!$X$4-(Iteration!BC8+Massenstromrechnung!$X$3)/2)^Konstanten!$C$18*BE8^Konstanten!$D$18*((Massenstromrechnung!$X$3+Iteration!BC8)/2)^Konstanten!$E$18+(Iteration!BC8-Massenstromrechnung!$X$3)^Konstanten!$F$18)))</f>
        <v>1312.5241472201722</v>
      </c>
      <c r="BG8" s="101">
        <f>BF8/(Massenstromrechnung!$R18*Konstanten!$K$3/3.6)+Massenstromrechnung!$X$3</f>
        <v>12.018606131228646</v>
      </c>
      <c r="BH8" s="103" t="str">
        <f>IF(OR(Massenstromrechnung!$Y$6&lt;(BG8*50+Massenstromrechnung!$X$3)/51,(Massenstromrechnung!$Y$6-(BG8*51+Massenstromrechnung!$X$3)/51)&lt;0.7),"trocken","feucht")</f>
        <v>feucht</v>
      </c>
      <c r="BI8" s="104">
        <f>(Massenstromrechnung!$X$4-(Massenstromrechnung!$X$3+BG8)/2)^Konstanten!$E$6*$AK8*$AL8^Konstanten!$F$6*(BG8-Massenstromrechnung!$X$3)^Konstanten!$G$6*((Massenstromrechnung!$X$3+BG8)/2)^Konstanten!$H$6*(Konstanten!$C$6-(BG8-Massenstromrechnung!$X$3)^Konstanten!$I$6*Konstanten!$D$6)</f>
        <v>962.52298249268301</v>
      </c>
      <c r="BJ8" s="104">
        <f>IF(BH8="trocken",BI8,IF(Konstanten!$A$18*(Massenstromrechnung!$Y$6^Konstanten!$B$18*(Massenstromrechnung!$X$4-(Iteration!BG8+Massenstromrechnung!$X$3)/2)^Konstanten!$C$18*BI8^Konstanten!$D$18*((Massenstromrechnung!$X$3+Iteration!BG8)/2)^Konstanten!$E$18+(Iteration!BG8-Massenstromrechnung!$X$3)^Konstanten!$F$18)&lt;1,BI8,BI8*Konstanten!$A$18*(Massenstromrechnung!$Y$6^Konstanten!$B$18*(Massenstromrechnung!$X$4-(Iteration!BG8+Massenstromrechnung!$X$3)/2)^Konstanten!$C$18*BI8^Konstanten!$D$18*((Massenstromrechnung!$X$3+Iteration!BG8)/2)^Konstanten!$E$18+(Iteration!BG8-Massenstromrechnung!$X$3)^Konstanten!$F$18)))</f>
        <v>1305.9265221580181</v>
      </c>
      <c r="BK8" s="101">
        <f>IF(BJ8/(Massenstromrechnung!$R18*Konstanten!$K$3/3.6)+Massenstromrechnung!$X$3-Massenstromrechnung!$X$3&lt;1.4,"RLT zu niedrig",BJ8/(Massenstromrechnung!$R18*Konstanten!$K$3/3.6)+Massenstromrechnung!$X$3)</f>
        <v>11.99337925699658</v>
      </c>
      <c r="BL8" s="103" t="str">
        <f>IF(BK8="RLT zu niedrig","RLT zu niedrig",IF(OR(Massenstromrechnung!$Y$6&lt;(BK8*50+Massenstromrechnung!$X$3)/51,(Massenstromrechnung!$Y$6-(BK8*51+Massenstromrechnung!$X$3)/51)&lt;0.7),"trocken","feucht"))</f>
        <v>feucht</v>
      </c>
      <c r="BM8" s="104">
        <f>IF(BK8="RLT zu niedrig","RLT zu niedrig",(Massenstromrechnung!$X$4-(Massenstromrechnung!$X$3+BK8)/2)^Konstanten!$E$6*$AK8*$AL8^Konstanten!$F$6*(BK8-Massenstromrechnung!$X$3)^Konstanten!$G$6*((Massenstromrechnung!$X$3+BK8)/2)^Konstanten!$H$6*(Konstanten!$C$6-(BK8-Massenstromrechnung!$X$3)^Konstanten!$I$6*Konstanten!$D$6))</f>
        <v>963.67360285430175</v>
      </c>
      <c r="BN8" s="104">
        <f>IF(BK8="RLT zu niedrig","RLT zu niedrig",IF(BL8="trocken",BM8,IF(Konstanten!$A$18*(Massenstromrechnung!$Y$6^Konstanten!$B$18*(Massenstromrechnung!$X$4-(Iteration!BK8+Massenstromrechnung!$X$3)/2)^Konstanten!$C$18*BM8^Konstanten!$D$18*((Massenstromrechnung!$X$3+Iteration!BK8)/2)^Konstanten!$E$18+(Iteration!BK8-Massenstromrechnung!$X$3)^Konstanten!$F$18)&lt;1,BM8,BM8*Konstanten!$A$18*(Massenstromrechnung!$Y$6^Konstanten!$B$18*(Massenstromrechnung!$X$4-(Iteration!BK8+Massenstromrechnung!$X$3)/2)^Konstanten!$C$18*BM8^Konstanten!$D$18*((Massenstromrechnung!$X$3+Iteration!BK8)/2)^Konstanten!$E$18+(Iteration!BK8-Massenstromrechnung!$X$3)^Konstanten!$F$18))))</f>
        <v>1308.2751132472897</v>
      </c>
      <c r="BO8" s="101"/>
      <c r="BP8">
        <f t="shared" si="10"/>
        <v>710</v>
      </c>
      <c r="BQ8">
        <f t="shared" si="10"/>
        <v>985</v>
      </c>
      <c r="BR8" s="103">
        <f>Massenstromrechnung!$X$3+2</f>
        <v>9</v>
      </c>
      <c r="BS8" s="103" t="str">
        <f>IF(OR(Massenstromrechnung!$Y$6&lt;(BR8*50+Massenstromrechnung!$X$3)/51,(Massenstromrechnung!$Y$6-(BR8*51+Massenstromrechnung!$X$3)/51)&lt;0.7),"trocken","feucht")</f>
        <v>feucht</v>
      </c>
      <c r="BT8" s="104">
        <f>(Massenstromrechnung!$X$4-(Massenstromrechnung!$X$3+BR8)/2)^Konstanten!$E$7*$AK8*$AL8^Konstanten!$F$7*(BR8-Massenstromrechnung!$X$3)^Konstanten!$G$7*((Massenstromrechnung!$X$3+BR8)/2)^Konstanten!$H$7*(Konstanten!$C$7-(BR8-Massenstromrechnung!$X$3)^Konstanten!$I$7*Konstanten!$D$7)</f>
        <v>1181.1564855462952</v>
      </c>
      <c r="BU8" s="104">
        <f>IF(BS8="trocken",BT8,IF(Konstanten!$A$18*(Massenstromrechnung!$Y$6^Konstanten!$B$18*(Massenstromrechnung!$X$4-(Iteration!BR8+Massenstromrechnung!$X$3)/2)^Konstanten!$C$18*BT8^Konstanten!$D$18*((Massenstromrechnung!$X$3+Iteration!BR8)/2)^Konstanten!$E$18+(Iteration!BR8-Massenstromrechnung!$X$3)^Konstanten!$F$18)&lt;1,BT8,BT8*Konstanten!$A$18*(Massenstromrechnung!$Y$6^Konstanten!$B$18*(Massenstromrechnung!$X$4-(Iteration!BR8+Massenstromrechnung!$X$3)/2)^Konstanten!$C$18*BT8^Konstanten!$D$18*((Massenstromrechnung!$X$3+Iteration!BR8)/2)^Konstanten!$E$18+(Iteration!BR8-Massenstromrechnung!$X$3)^Konstanten!$F$18)))</f>
        <v>1759.7523679465664</v>
      </c>
      <c r="BV8" s="101">
        <f>BU8/(Massenstromrechnung!$AA18*Konstanten!$K$3/3.6)+Massenstromrechnung!$X$3</f>
        <v>13.89450186962787</v>
      </c>
      <c r="BW8" s="103" t="str">
        <f>IF(OR(Massenstromrechnung!$Y$6&lt;(BV8*50+Massenstromrechnung!$X$3)/51,(Massenstromrechnung!$Y$6-(BV8*51+Massenstromrechnung!$X$3)/51)&lt;0.7),"trocken","feucht")</f>
        <v>feucht</v>
      </c>
      <c r="BX8" s="104">
        <f>(Massenstromrechnung!$X$4-(Massenstromrechnung!$X$3+BV8)/2)^Konstanten!$E$7*$AK8*$AL8^Konstanten!$F$7*(BV8-Massenstromrechnung!$X$3)^Konstanten!$G$7*((Massenstromrechnung!$X$3+BV8)/2)^Konstanten!$H$7*(Konstanten!$C$7-(BV8-Massenstromrechnung!$X$3)^Konstanten!$I$7*Konstanten!$D$7)</f>
        <v>844.34808159037254</v>
      </c>
      <c r="BY8" s="104">
        <f>IF(BW8="trocken",BX8,IF(Konstanten!$A$18*(Massenstromrechnung!$Y$6^Konstanten!$B$18*(Massenstromrechnung!$X$4-(Iteration!BV8+Massenstromrechnung!$X$3)/2)^Konstanten!$C$18*BX8^Konstanten!$D$18*((Massenstromrechnung!$X$3+Iteration!BV8)/2)^Konstanten!$E$18+(Iteration!BV8-Massenstromrechnung!$X$3)^Konstanten!$F$18)&lt;1,BX8,BX8*Konstanten!$A$18*(Massenstromrechnung!$Y$6^Konstanten!$B$18*(Massenstromrechnung!$X$4-(Iteration!BV8+Massenstromrechnung!$X$3)/2)^Konstanten!$C$18*BX8^Konstanten!$D$18*((Massenstromrechnung!$X$3+Iteration!BV8)/2)^Konstanten!$E$18+(Iteration!BV8-Massenstromrechnung!$X$3)^Konstanten!$F$18)))</f>
        <v>1102.2260433009637</v>
      </c>
      <c r="BZ8" s="101">
        <f>BY8/(Massenstromrechnung!$AA18*Konstanten!$K$3/3.6)+Massenstromrechnung!$X$3</f>
        <v>11.318391413877485</v>
      </c>
      <c r="CA8" s="103" t="str">
        <f>IF(OR(Massenstromrechnung!$Y$6&lt;(BZ8*50+Massenstromrechnung!$X$3)/51,(Massenstromrechnung!$Y$6-(BZ8*51+Massenstromrechnung!$X$3)/51)&lt;0.7),"trocken","feucht")</f>
        <v>feucht</v>
      </c>
      <c r="CB8" s="104">
        <f>(Massenstromrechnung!$X$4-(Massenstromrechnung!$X$3+BZ8)/2)^Konstanten!$E$7*$AK8*$AL8^Konstanten!$F$7*(BZ8-Massenstromrechnung!$X$3)^Konstanten!$G$7*((Massenstromrechnung!$X$3+BZ8)/2)^Konstanten!$H$7*(Konstanten!$C$7-(BZ8-Massenstromrechnung!$X$3)^Konstanten!$I$7*Konstanten!$D$7)</f>
        <v>980.4563253509582</v>
      </c>
      <c r="CC8" s="104">
        <f>IF(CA8="trocken",CB8,IF(Konstanten!$A$18*(Massenstromrechnung!$Y$6^Konstanten!$B$18*(Massenstromrechnung!$X$4-(Iteration!BZ8+Massenstromrechnung!$X$3)/2)^Konstanten!$C$18*CB8^Konstanten!$D$18*((Massenstromrechnung!$X$3+Iteration!BZ8)/2)^Konstanten!$E$18+(Iteration!BZ8-Massenstromrechnung!$X$3)^Konstanten!$F$18)&lt;1,CB8,CB8*Konstanten!$A$18*(Massenstromrechnung!$Y$6^Konstanten!$B$18*(Massenstromrechnung!$X$4-(Iteration!BZ8+Massenstromrechnung!$X$3)/2)^Konstanten!$C$18*CB8^Konstanten!$D$18*((Massenstromrechnung!$X$3+Iteration!BZ8)/2)^Konstanten!$E$18+(Iteration!BZ8-Massenstromrechnung!$X$3)^Konstanten!$F$18)))</f>
        <v>1354.3716393811426</v>
      </c>
      <c r="CD8" s="101">
        <f>CC8/(Massenstromrechnung!$AA18*Konstanten!$K$3/3.6)+Massenstromrechnung!$X$3</f>
        <v>12.306268069285407</v>
      </c>
      <c r="CE8" s="103" t="str">
        <f>IF(OR(Massenstromrechnung!$Y$6&lt;(CD8*50+Massenstromrechnung!$X$3)/51,(Massenstromrechnung!$Y$6-(CD8*51+Massenstromrechnung!$X$3)/51)&lt;0.7),"trocken","feucht")</f>
        <v>feucht</v>
      </c>
      <c r="CF8" s="104">
        <f>(Massenstromrechnung!$X$4-(Massenstromrechnung!$X$3+CD8)/2)^Konstanten!$E$7*$AK8*$AL8^Konstanten!$F$7*(CD8-Massenstromrechnung!$X$3)^Konstanten!$G$7*((Massenstromrechnung!$X$3+CD8)/2)^Konstanten!$H$7*(Konstanten!$C$7-(CD8-Massenstromrechnung!$X$3)^Konstanten!$I$7*Konstanten!$D$7)</f>
        <v>922.48775010536872</v>
      </c>
      <c r="CG8" s="104">
        <f>IF(CE8="trocken",CF8,IF(Konstanten!$A$18*(Massenstromrechnung!$Y$6^Konstanten!$B$18*(Massenstromrechnung!$X$4-(Iteration!CD8+Massenstromrechnung!$X$3)/2)^Konstanten!$C$18*CF8^Konstanten!$D$18*((Massenstromrechnung!$X$3+Iteration!CD8)/2)^Konstanten!$E$18+(Iteration!CD8-Massenstromrechnung!$X$3)^Konstanten!$F$18)&lt;1,CF8,CF8*Konstanten!$A$18*(Massenstromrechnung!$Y$6^Konstanten!$B$18*(Massenstromrechnung!$X$4-(Iteration!CD8+Massenstromrechnung!$X$3)/2)^Konstanten!$C$18*CF8^Konstanten!$D$18*((Massenstromrechnung!$X$3+Iteration!CD8)/2)^Konstanten!$E$18+(Iteration!CD8-Massenstromrechnung!$X$3)^Konstanten!$F$18)))</f>
        <v>1244.289308466231</v>
      </c>
      <c r="CH8" s="101">
        <f>CG8/(Massenstromrechnung!$AA18*Konstanten!$K$3/3.6)+Massenstromrechnung!$X$3</f>
        <v>11.874978502565586</v>
      </c>
      <c r="CI8" s="103" t="str">
        <f>IF(OR(Massenstromrechnung!$Y$6&lt;(CH8*50+Massenstromrechnung!$X$3)/51,(Massenstromrechnung!$Y$6-(CH8*51+Massenstromrechnung!$X$3)/51)&lt;0.7),"trocken","feucht")</f>
        <v>feucht</v>
      </c>
      <c r="CJ8" s="104">
        <f>(Massenstromrechnung!$X$4-(Massenstromrechnung!$X$3+CH8)/2)^Konstanten!$E$7*$AK8*$AL8^Konstanten!$F$7*(CH8-Massenstromrechnung!$X$3)^Konstanten!$G$7*((Massenstromrechnung!$X$3+CH8)/2)^Konstanten!$H$7*(Konstanten!$C$7-(CH8-Massenstromrechnung!$X$3)^Konstanten!$I$7*Konstanten!$D$7)</f>
        <v>946.66483937985686</v>
      </c>
      <c r="CK8" s="104">
        <f>IF(CI8="trocken",CJ8,IF(Konstanten!$A$18*(Massenstromrechnung!$Y$6^Konstanten!$B$18*(Massenstromrechnung!$X$4-(Iteration!CH8+Massenstromrechnung!$X$3)/2)^Konstanten!$C$18*CJ8^Konstanten!$D$18*((Massenstromrechnung!$X$3+Iteration!CH8)/2)^Konstanten!$E$18+(Iteration!CH8-Massenstromrechnung!$X$3)^Konstanten!$F$18)&lt;1,CJ8,CJ8*Konstanten!$A$18*(Massenstromrechnung!$Y$6^Konstanten!$B$18*(Massenstromrechnung!$X$4-(Iteration!CH8+Massenstromrechnung!$X$3)/2)^Konstanten!$C$18*CJ8^Konstanten!$D$18*((Massenstromrechnung!$X$3+Iteration!CH8)/2)^Konstanten!$E$18+(Iteration!CH8-Massenstromrechnung!$X$3)^Konstanten!$F$18)))</f>
        <v>1289.7552107913525</v>
      </c>
      <c r="CL8" s="101">
        <f>CK8/(Massenstromrechnung!$AA18*Konstanten!$K$3/3.6)+Massenstromrechnung!$X$3</f>
        <v>12.053108536253593</v>
      </c>
      <c r="CM8" s="103" t="str">
        <f>IF(OR(Massenstromrechnung!$Y$6&lt;(CL8*50+Massenstromrechnung!$X$3)/51,(Massenstromrechnung!$Y$6-(CL8*51+Massenstromrechnung!$X$3)/51)&lt;0.7),"trocken","feucht")</f>
        <v>feucht</v>
      </c>
      <c r="CN8" s="104">
        <f>(Massenstromrechnung!$X$4-(Massenstromrechnung!$X$3+CL8)/2)^Konstanten!$E$7*$AK8*$AL8^Konstanten!$F$7*(CL8-Massenstromrechnung!$X$3)^Konstanten!$G$7*((Massenstromrechnung!$X$3+CL8)/2)^Konstanten!$H$7*(Konstanten!$C$7-(CL8-Massenstromrechnung!$X$3)^Konstanten!$I$7*Konstanten!$D$7)</f>
        <v>936.48850550861391</v>
      </c>
      <c r="CO8" s="104">
        <f>IF(CM8="trocken",CN8,IF(Konstanten!$A$18*(Massenstromrechnung!$Y$6^Konstanten!$B$18*(Massenstromrechnung!$X$4-(Iteration!CL8+Massenstromrechnung!$X$3)/2)^Konstanten!$C$18*CN8^Konstanten!$D$18*((Massenstromrechnung!$X$3+Iteration!CL8)/2)^Konstanten!$E$18+(Iteration!CL8-Massenstromrechnung!$X$3)^Konstanten!$F$18)&lt;1,CN8,CN8*Konstanten!$A$18*(Massenstromrechnung!$Y$6^Konstanten!$B$18*(Massenstromrechnung!$X$4-(Iteration!CL8+Massenstromrechnung!$X$3)/2)^Konstanten!$C$18*CN8^Konstanten!$D$18*((Massenstromrechnung!$X$3+Iteration!CL8)/2)^Konstanten!$E$18+(Iteration!CL8-Massenstromrechnung!$X$3)^Konstanten!$F$18)))</f>
        <v>1270.5374525304237</v>
      </c>
      <c r="CP8" s="101">
        <f>IF(CO8/(Massenstromrechnung!$AA18*Konstanten!$K$3/3.6)+Massenstromrechnung!$X$3-Massenstromrechnung!$X$3&lt;1.4,"RLT zu niedrig",CO8/(Massenstromrechnung!$AA18*Konstanten!$K$3/3.6)+Massenstromrechnung!$X$3)</f>
        <v>11.977815629891637</v>
      </c>
      <c r="CQ8" s="103" t="str">
        <f>IF(CP8="RLT zu niedrig","RLT zu niedrig",IF(OR(Massenstromrechnung!$Y$6&lt;(CP8*50+Massenstromrechnung!$X$3)/51,(Massenstromrechnung!$Y$6-(CP8*51+Massenstromrechnung!$X$3)/51)&lt;0.7),"trocken","feucht"))</f>
        <v>feucht</v>
      </c>
      <c r="CR8" s="104">
        <f>IF(CP8="RLT zu niedrig","RLT zu niedrig",(Massenstromrechnung!$X$4-(Massenstromrechnung!$X$3+CP8)/2)^Konstanten!$E$7*$AK8*$AL8^Konstanten!$F$7*(CP8-Massenstromrechnung!$X$3)^Konstanten!$G$7*((Massenstromrechnung!$X$3+CP8)/2)^Konstanten!$H$7*(Konstanten!$C$7-(CP8-Massenstromrechnung!$X$3)^Konstanten!$I$7*Konstanten!$D$7))</f>
        <v>940.75564113558107</v>
      </c>
      <c r="CS8" s="104">
        <f>IF(CP8="RLT zu niedrig","RLT zu niedrig",IF(CQ8="trocken",CR8,IF(Konstanten!$A$18*(Massenstromrechnung!$Y$6^Konstanten!$B$18*(Massenstromrechnung!$X$4-(Iteration!CP8+Massenstromrechnung!$X$3)/2)^Konstanten!$C$18*CR8^Konstanten!$D$18*((Massenstromrechnung!$X$3+Iteration!CP8)/2)^Konstanten!$E$18+(Iteration!CP8-Massenstromrechnung!$X$3)^Konstanten!$F$18)&lt;1,CR8,CR8*Konstanten!$A$18*(Massenstromrechnung!$Y$6^Konstanten!$B$18*(Massenstromrechnung!$X$4-(Iteration!CP8+Massenstromrechnung!$X$3)/2)^Konstanten!$C$18*CR8^Konstanten!$D$18*((Massenstromrechnung!$X$3+Iteration!CP8)/2)^Konstanten!$E$18+(Iteration!CP8-Massenstromrechnung!$X$3)^Konstanten!$F$18))))</f>
        <v>1278.5817553995219</v>
      </c>
    </row>
    <row r="9" spans="1:97" x14ac:dyDescent="0.3">
      <c r="A9">
        <f>Massenstromrechnung!B19</f>
        <v>710</v>
      </c>
      <c r="B9" s="27">
        <v>735</v>
      </c>
      <c r="C9" s="103">
        <f>IF(Massenstromrechnung!$K$3-10&lt;=Massenstromrechnung!$K$4,Massenstromrechnung!$K$3-0.75*(Massenstromrechnung!$K$3-Massenstromrechnung!$K$4),Massenstromrechnung!$K$3-10)</f>
        <v>65</v>
      </c>
      <c r="D9" s="103">
        <f>-1*((Massenstromrechnung!$K$3+C9)/2-Massenstromrechnung!$K$4)^Konstanten!$E$4*Massenstromrechnung!$B19*Massenstromrechnung!$C19^Konstanten!$F$4*(Massenstromrechnung!$K$3-C9)^Konstanten!$G$4*((Massenstromrechnung!$K$3+C9)/2)^Konstanten!$H$4*(Konstanten!$C$4-((Massenstromrechnung!$K$3-C9)^Konstanten!$I$4*Konstanten!$D$4))/(Massenstromrechnung!$F19*Konstanten!$K$3/3.6)+Massenstromrechnung!$K$3</f>
        <v>65</v>
      </c>
      <c r="E9" s="103">
        <f t="shared" si="6"/>
        <v>65</v>
      </c>
      <c r="F9" s="103">
        <f>-1*((Massenstromrechnung!$K$3+E9)/2-Massenstromrechnung!$K$4)^Konstanten!$E$4*Massenstromrechnung!$B19*Massenstromrechnung!$C19^Konstanten!$F$4*(Massenstromrechnung!$K$3-E9)^Konstanten!$G$4*((Massenstromrechnung!$K$3+E9)/2)^Konstanten!$H$4*(Konstanten!$C$4-((Massenstromrechnung!$K$3-E9)^Konstanten!$I$4*Konstanten!$D$4))/(Massenstromrechnung!$F19*Konstanten!$K$3/3.6)+Massenstromrechnung!$K$3</f>
        <v>65</v>
      </c>
      <c r="G9" s="103">
        <f t="shared" si="0"/>
        <v>65</v>
      </c>
      <c r="H9" s="103">
        <f>-1*((Massenstromrechnung!$K$3+G9)/2-Massenstromrechnung!$K$4)^Konstanten!$E$4*Massenstromrechnung!$B19*Massenstromrechnung!$C19^Konstanten!$F$4*(Massenstromrechnung!$K$3-G9)^Konstanten!$G$4*((Massenstromrechnung!$K$3+G9)/2)^Konstanten!$H$4*(Konstanten!$C$4-((Massenstromrechnung!$K$3-G9)^Konstanten!$I$4*Konstanten!$D$4))/(Massenstromrechnung!$F19*Konstanten!$K$3/3.6)+Massenstromrechnung!$K$3</f>
        <v>65</v>
      </c>
      <c r="I9" s="103">
        <f t="shared" si="1"/>
        <v>65</v>
      </c>
      <c r="J9" s="103">
        <f>-1*((Massenstromrechnung!$K$3+I9)/2-Massenstromrechnung!$K$4)^Konstanten!$E$4*Massenstromrechnung!$B19*Massenstromrechnung!$C19^Konstanten!$F$4*(Massenstromrechnung!$K$3-I9)^Konstanten!$G$4*((Massenstromrechnung!$K$3+I9)/2)^Konstanten!$H$4*(Konstanten!$C$4-((Massenstromrechnung!$K$3-I9)^Konstanten!$I$4*Konstanten!$D$4))/(Massenstromrechnung!$F19*Konstanten!$K$3/3.6)+Massenstromrechnung!$K$3</f>
        <v>65</v>
      </c>
      <c r="K9" s="103">
        <f t="shared" si="2"/>
        <v>65</v>
      </c>
      <c r="L9" s="103">
        <f>-1*((Massenstromrechnung!$K$3+K9)/2-Massenstromrechnung!$K$4)^Konstanten!$E$4*Massenstromrechnung!$B19*Massenstromrechnung!$C19^Konstanten!$F$4*(Massenstromrechnung!$K$3-K9)^Konstanten!$G$4*((Massenstromrechnung!$K$3+K9)/2)^Konstanten!$H$4*(Konstanten!$C$4-((Massenstromrechnung!$K$3-K9)^Konstanten!$I$4*Konstanten!$D$4))/(Massenstromrechnung!$F19*Konstanten!$K$3/3.6)+Massenstromrechnung!$K$3</f>
        <v>65</v>
      </c>
      <c r="N9">
        <f>'Katalogdaten M3G045'!B23</f>
        <v>710</v>
      </c>
      <c r="O9" s="27">
        <v>735</v>
      </c>
      <c r="P9" s="103">
        <f>IF(Massenstromrechnung!$K$3-10&lt;=Massenstromrechnung!$K$4,Massenstromrechnung!$K$3-0.75*(Massenstromrechnung!$K$3-Massenstromrechnung!$K$4),Massenstromrechnung!$K$3-10)</f>
        <v>65</v>
      </c>
      <c r="Q9" s="103" t="e">
        <f>-1*((Massenstromrechnung!$K$3+P9)/2-Massenstromrechnung!$K$4)^Konstanten!$E$4*Massenstromrechnung!$B19*Massenstromrechnung!$C19^Konstanten!$F$4*(Massenstromrechnung!$K$3-P9)^Konstanten!$G$4*((Massenstromrechnung!$K$3+P9)/2)^Konstanten!$H$4*(Konstanten!$C$4-((Massenstromrechnung!$K$3-P9)^Konstanten!$I$4*Konstanten!$D$4))/(Massenstromrechnung!#REF!*Konstanten!$K$3/3.6)+Massenstromrechnung!$K$3</f>
        <v>#REF!</v>
      </c>
      <c r="R9" s="103" t="e">
        <f t="shared" si="7"/>
        <v>#REF!</v>
      </c>
      <c r="S9" s="103" t="e">
        <f>-1*((Massenstromrechnung!$K$3+R9)/2-Massenstromrechnung!$K$4)^Konstanten!$E$4*Massenstromrechnung!$B19*Massenstromrechnung!$C19^Konstanten!$F$4*(Massenstromrechnung!$K$3-R9)^Konstanten!$G$4*((Massenstromrechnung!$K$3+R9)/2)^Konstanten!$H$4*(Konstanten!$C$4-((Massenstromrechnung!$K$3-R9)^Konstanten!$I$4*Konstanten!$D$4))/(Massenstromrechnung!#REF!*Konstanten!$K$3/3.6)+Massenstromrechnung!$K$3</f>
        <v>#REF!</v>
      </c>
      <c r="T9" s="103" t="e">
        <f t="shared" si="3"/>
        <v>#REF!</v>
      </c>
      <c r="U9" s="103" t="e">
        <f>-1*((Massenstromrechnung!$K$3+T9)/2-Massenstromrechnung!$K$4)^Konstanten!$E$4*Massenstromrechnung!$B19*Massenstromrechnung!$C19^Konstanten!$F$4*(Massenstromrechnung!$K$3-T9)^Konstanten!$G$4*((Massenstromrechnung!$K$3+T9)/2)^Konstanten!$H$4*(Konstanten!$C$4-((Massenstromrechnung!$K$3-T9)^Konstanten!$I$4*Konstanten!$D$4))/(Massenstromrechnung!#REF!*Konstanten!$K$3/3.6)+Massenstromrechnung!$K$3</f>
        <v>#REF!</v>
      </c>
      <c r="V9" s="103" t="e">
        <f t="shared" si="4"/>
        <v>#REF!</v>
      </c>
      <c r="W9" s="103" t="e">
        <f>-1*((Massenstromrechnung!$K$3+V9)/2-Massenstromrechnung!$K$4)^Konstanten!$E$4*Massenstromrechnung!$B19*Massenstromrechnung!$C19^Konstanten!$F$4*(Massenstromrechnung!$K$3-V9)^Konstanten!$G$4*((Massenstromrechnung!$K$3+V9)/2)^Konstanten!$H$4*(Konstanten!$C$4-((Massenstromrechnung!$K$3-V9)^Konstanten!$I$4*Konstanten!$D$4))/(Massenstromrechnung!#REF!*Konstanten!$K$3/3.6)+Massenstromrechnung!$K$3</f>
        <v>#REF!</v>
      </c>
      <c r="X9" s="103" t="e">
        <f t="shared" si="5"/>
        <v>#REF!</v>
      </c>
      <c r="Y9" s="103" t="e">
        <f>-1*((Massenstromrechnung!$K$3+X9)/2-Massenstromrechnung!$K$4)^Konstanten!$E$4*Massenstromrechnung!$B19*Massenstromrechnung!$C19^Konstanten!$F$4*(Massenstromrechnung!$K$3-X9)^Konstanten!$G$4*((Massenstromrechnung!$K$3+X9)/2)^Konstanten!$H$4*(Konstanten!$C$4-((Massenstromrechnung!$K$3-X9)^Konstanten!$I$4*Konstanten!$D$4))/(Massenstromrechnung!#REF!*Konstanten!$K$3/3.6)+Massenstromrechnung!$K$3</f>
        <v>#REF!</v>
      </c>
      <c r="AA9">
        <f t="shared" si="8"/>
        <v>710</v>
      </c>
      <c r="AB9">
        <f t="shared" si="8"/>
        <v>735</v>
      </c>
      <c r="AC9" s="103">
        <f>IF(Massenstromrechnung!$K$3-10&lt;=Massenstromrechnung!$K$4,Massenstromrechnung!$K$3-0.75*(Massenstromrechnung!$K$3-Massenstromrechnung!$K$4),Massenstromrechnung!$K$3-10)</f>
        <v>65</v>
      </c>
      <c r="AD9" s="103">
        <f>-1*((Massenstromrechnung!$K$3+AC9)/2-Massenstromrechnung!$K$4)^Konstanten!$E$5*$AA9*$AB9^Konstanten!$F$5*(Massenstromrechnung!$K$3-AC9)^Konstanten!$G$5*((Massenstromrechnung!$K$3+AC9)/2)^Konstanten!$H$5*(Konstanten!$C$5-((Massenstromrechnung!$K$3-AC9)^Konstanten!$I$5*Konstanten!$D$5))/(Massenstromrechnung!$L19*Konstanten!$K$3/3.6)+Massenstromrechnung!$K$3</f>
        <v>65</v>
      </c>
      <c r="AE9" s="103">
        <f>-1*((Massenstromrechnung!$K$3+AD9)/2-Massenstromrechnung!$K$4)^Konstanten!$E$5*$AA9*$AB9^Konstanten!$F$5*(Massenstromrechnung!$K$3-AD9)^Konstanten!$G$5*((Massenstromrechnung!$K$3+AD9)/2)^Konstanten!$H$5*(Konstanten!$C$5-((Massenstromrechnung!$K$3-AD9)^Konstanten!$I$5*Konstanten!$D$5))/(Massenstromrechnung!$L19*Konstanten!$K$3/3.6)+Massenstromrechnung!$K$3</f>
        <v>65</v>
      </c>
      <c r="AF9" s="103">
        <f>-1*((Massenstromrechnung!$K$3+AE9)/2-Massenstromrechnung!$K$4)^Konstanten!$E$5*$AA9*$AB9^Konstanten!$F$5*(Massenstromrechnung!$K$3-AE9)^Konstanten!$G$5*((Massenstromrechnung!$K$3+AE9)/2)^Konstanten!$H$5*(Konstanten!$C$5-((Massenstromrechnung!$K$3-AE9)^Konstanten!$I$5*Konstanten!$D$5))/(Massenstromrechnung!$L19*Konstanten!$K$3/3.6)+Massenstromrechnung!$K$3</f>
        <v>65</v>
      </c>
      <c r="AG9" s="103">
        <f>-1*((Massenstromrechnung!$K$3+AF9)/2-Massenstromrechnung!$K$4)^Konstanten!$E$5*$AA9*$AB9^Konstanten!$F$5*(Massenstromrechnung!$K$3-AF9)^Konstanten!$G$5*((Massenstromrechnung!$K$3+AF9)/2)^Konstanten!$H$5*(Konstanten!$C$5-((Massenstromrechnung!$K$3-AF9)^Konstanten!$I$5*Konstanten!$D$5))/(Massenstromrechnung!$L19*Konstanten!$K$3/3.6)+Massenstromrechnung!$K$3</f>
        <v>65</v>
      </c>
      <c r="AH9" s="103">
        <f>-1*((Massenstromrechnung!$K$3+AG9)/2-Massenstromrechnung!$K$4)^Konstanten!$E$5*$AA9*$AB9^Konstanten!$F$5*(Massenstromrechnung!$K$3-AG9)^Konstanten!$G$5*((Massenstromrechnung!$K$3+AG9)/2)^Konstanten!$H$5*(Konstanten!$C$5-((Massenstromrechnung!$K$3-AG9)^Konstanten!$I$5*Konstanten!$D$5))/(Massenstromrechnung!$L19*Konstanten!$K$3/3.6)+Massenstromrechnung!$K$3</f>
        <v>65</v>
      </c>
      <c r="AI9" s="103">
        <f>-1*((Massenstromrechnung!$K$3+AH9)/2-Massenstromrechnung!$K$4)^Konstanten!$E$5*$AA9*$AB9^Konstanten!$F$5*(Massenstromrechnung!$K$3-AH9)^Konstanten!$G$5*((Massenstromrechnung!$K$3+AH9)/2)^Konstanten!$H$5*(Konstanten!$C$5-((Massenstromrechnung!$K$3-AH9)^Konstanten!$I$5*Konstanten!$D$5))/(Massenstromrechnung!$L19*Konstanten!$K$3/3.6)+Massenstromrechnung!$K$3</f>
        <v>65</v>
      </c>
      <c r="AK9">
        <f t="shared" si="9"/>
        <v>710</v>
      </c>
      <c r="AL9">
        <f t="shared" si="9"/>
        <v>735</v>
      </c>
      <c r="AM9" s="103">
        <f>Massenstromrechnung!$X$3+2</f>
        <v>9</v>
      </c>
      <c r="AN9" s="103" t="str">
        <f>IF(OR(Massenstromrechnung!$Y$6&lt;(AM9*50+Massenstromrechnung!$X$3)/51,(Massenstromrechnung!$Y$6-(AM9*51+Massenstromrechnung!$X$3)/51)&lt;0.7),"trocken","feucht")</f>
        <v>feucht</v>
      </c>
      <c r="AO9" s="104">
        <f>(Massenstromrechnung!$X$4-(Massenstromrechnung!$X$3+AM9)/2)^Konstanten!$E$6*$AK9*$AL9^Konstanten!$F$6*(AM9-Massenstromrechnung!$X$3)^Konstanten!$G$6*((Massenstromrechnung!$X$3+AM9)/2)^Konstanten!$H$6*(Konstanten!$C$6-(AM9-Massenstromrechnung!$X$3)^Konstanten!$I$6*Konstanten!$D$6)</f>
        <v>709.6495899351869</v>
      </c>
      <c r="AP9" s="104">
        <f>IF(AN9="trocken",AO9,IF(Konstanten!$A$18*(Massenstromrechnung!$Y$6^Konstanten!$B$18*(Massenstromrechnung!$X$4-(Iteration!AM9+Massenstromrechnung!$X$3)/2)^Konstanten!$C$18*AO9^Konstanten!$D$18*((Massenstromrechnung!$X$3+Iteration!AM9)/2)^Konstanten!$E$18+(Iteration!AM9-Massenstromrechnung!$X$3)^Konstanten!$F$18)&lt;1,AO9,AO9*Konstanten!$A$18*(Massenstromrechnung!$Y$6^Konstanten!$B$18*(Massenstromrechnung!$X$4-(Iteration!AM9+Massenstromrechnung!$X$3)/2)^Konstanten!$C$18*AO9^Konstanten!$D$18*((Massenstromrechnung!$X$3+Iteration!AM9)/2)^Konstanten!$E$18+(Iteration!AM9-Massenstromrechnung!$X$3)^Konstanten!$F$18)))</f>
        <v>1072.9903950376972</v>
      </c>
      <c r="AQ9" s="101">
        <f>AP9/(Massenstromrechnung!$R19*Konstanten!$K$3/3.6)+Massenstromrechnung!$X$3</f>
        <v>13.214597013278549</v>
      </c>
      <c r="AR9" s="103" t="str">
        <f>IF(OR(Massenstromrechnung!$Y$6&lt;(AQ9*50+Massenstromrechnung!$X$3)/51,(Massenstromrechnung!$Y$6-(AQ9*51+Massenstromrechnung!$X$3)/51)&lt;0.7),"trocken","feucht")</f>
        <v>feucht</v>
      </c>
      <c r="AS9" s="104">
        <f>(Massenstromrechnung!$X$4-(Massenstromrechnung!$X$3+AQ9)/2)^Konstanten!$E$6*$AK9*$AL9^Konstanten!$F$6*(AQ9-Massenstromrechnung!$X$3)^Konstanten!$G$6*((Massenstromrechnung!$X$3+AQ9)/2)^Konstanten!$H$6*(Konstanten!$C$6-(AQ9-Massenstromrechnung!$X$3)^Konstanten!$I$6*Konstanten!$D$6)</f>
        <v>592.99175811917917</v>
      </c>
      <c r="AT9" s="104">
        <f>IF(AR9="trocken",AS9,IF(Konstanten!$A$18*(Massenstromrechnung!$Y$6^Konstanten!$B$18*(Massenstromrechnung!$X$4-(Iteration!AQ9+Massenstromrechnung!$X$3)/2)^Konstanten!$C$18*AS9^Konstanten!$D$18*((Massenstromrechnung!$X$3+Iteration!AQ9)/2)^Konstanten!$E$18+(Iteration!AQ9-Massenstromrechnung!$X$3)^Konstanten!$F$18)&lt;1,AS9,AS9*Konstanten!$A$18*(Massenstromrechnung!$Y$6^Konstanten!$B$18*(Massenstromrechnung!$X$4-(Iteration!AQ9+Massenstromrechnung!$X$3)/2)^Konstanten!$C$18*AS9^Konstanten!$D$18*((Massenstromrechnung!$X$3+Iteration!AQ9)/2)^Konstanten!$E$18+(Iteration!AQ9-Massenstromrechnung!$X$3)^Konstanten!$F$18)))</f>
        <v>793.66504834893874</v>
      </c>
      <c r="AU9" s="101">
        <f>AT9/(Massenstromrechnung!$R19*Konstanten!$K$3/3.6)+Massenstromrechnung!$X$3</f>
        <v>11.596787130456656</v>
      </c>
      <c r="AV9" s="103" t="str">
        <f>IF(OR(Massenstromrechnung!$Y$6&lt;(AU9*50+Massenstromrechnung!$X$3)/51,(Massenstromrechnung!$Y$6-(AU9*51+Massenstromrechnung!$X$3)/51)&lt;0.7),"trocken","feucht")</f>
        <v>feucht</v>
      </c>
      <c r="AW9" s="104">
        <f>(Massenstromrechnung!$X$4-(Massenstromrechnung!$X$3+AU9)/2)^Konstanten!$E$6*$AK9*$AL9^Konstanten!$F$6*(AU9-Massenstromrechnung!$X$3)^Konstanten!$G$6*((Massenstromrechnung!$X$3+AU9)/2)^Konstanten!$H$6*(Konstanten!$C$6-(AU9-Massenstromrechnung!$X$3)^Konstanten!$I$6*Konstanten!$D$6)</f>
        <v>640.03884791692792</v>
      </c>
      <c r="AX9" s="104">
        <f>IF(AV9="trocken",AW9,IF(Konstanten!$A$18*(Massenstromrechnung!$Y$6^Konstanten!$B$18*(Massenstromrechnung!$X$4-(Iteration!AU9+Massenstromrechnung!$X$3)/2)^Konstanten!$C$18*AW9^Konstanten!$D$18*((Massenstromrechnung!$X$3+Iteration!AU9)/2)^Konstanten!$E$18+(Iteration!AU9-Massenstromrechnung!$X$3)^Konstanten!$F$18)&lt;1,AW9,AW9*Konstanten!$A$18*(Massenstromrechnung!$Y$6^Konstanten!$B$18*(Massenstromrechnung!$X$4-(Iteration!AU9+Massenstromrechnung!$X$3)/2)^Konstanten!$C$18*AW9^Konstanten!$D$18*((Massenstromrechnung!$X$3+Iteration!AU9)/2)^Konstanten!$E$18+(Iteration!AU9-Massenstromrechnung!$X$3)^Konstanten!$F$18)))</f>
        <v>888.65664174310518</v>
      </c>
      <c r="AY9" s="101">
        <f>AX9/(Massenstromrechnung!$R19*Konstanten!$K$3/3.6)+Massenstromrechnung!$X$3</f>
        <v>12.146963977634506</v>
      </c>
      <c r="AZ9" s="103" t="str">
        <f>IF(OR(Massenstromrechnung!$Y$6&lt;(AY9*50+Massenstromrechnung!$X$3)/51,(Massenstromrechnung!$Y$6-(AY9*51+Massenstromrechnung!$X$3)/51)&lt;0.7),"trocken","feucht")</f>
        <v>feucht</v>
      </c>
      <c r="BA9" s="104">
        <f>(Massenstromrechnung!$X$4-(Massenstromrechnung!$X$3+AY9)/2)^Konstanten!$E$6*$AK9*$AL9^Konstanten!$F$6*(AY9-Massenstromrechnung!$X$3)^Konstanten!$G$6*((Massenstromrechnung!$X$3+AY9)/2)^Konstanten!$H$6*(Konstanten!$C$6-(AY9-Massenstromrechnung!$X$3)^Konstanten!$I$6*Konstanten!$D$6)</f>
        <v>623.58205677743501</v>
      </c>
      <c r="BB9" s="104">
        <f>IF(AZ9="trocken",BA9,IF(Konstanten!$A$18*(Massenstromrechnung!$Y$6^Konstanten!$B$18*(Massenstromrechnung!$X$4-(Iteration!AY9+Massenstromrechnung!$X$3)/2)^Konstanten!$C$18*BA9^Konstanten!$D$18*((Massenstromrechnung!$X$3+Iteration!AY9)/2)^Konstanten!$E$18+(Iteration!AY9-Massenstromrechnung!$X$3)^Konstanten!$F$18)&lt;1,BA9,BA9*Konstanten!$A$18*(Massenstromrechnung!$Y$6^Konstanten!$B$18*(Massenstromrechnung!$X$4-(Iteration!AY9+Massenstromrechnung!$X$3)/2)^Konstanten!$C$18*BA9^Konstanten!$D$18*((Massenstromrechnung!$X$3+Iteration!AY9)/2)^Konstanten!$E$18+(Iteration!AY9-Massenstromrechnung!$X$3)^Konstanten!$F$18)))</f>
        <v>854.32805620189129</v>
      </c>
      <c r="BC9" s="101">
        <f>BB9/(Massenstromrechnung!$R19*Konstanten!$K$3/3.6)+Massenstromrechnung!$X$3</f>
        <v>11.948138036450747</v>
      </c>
      <c r="BD9" s="103" t="str">
        <f>IF(OR(Massenstromrechnung!$Y$6&lt;(BC9*50+Massenstromrechnung!$X$3)/51,(Massenstromrechnung!$Y$6-(BC9*51+Massenstromrechnung!$X$3)/51)&lt;0.7),"trocken","feucht")</f>
        <v>feucht</v>
      </c>
      <c r="BE9" s="104">
        <f>(Massenstromrechnung!$X$4-(Massenstromrechnung!$X$3+BC9)/2)^Konstanten!$E$6*$AK9*$AL9^Konstanten!$F$6*(BC9-Massenstromrechnung!$X$3)^Konstanten!$G$6*((Massenstromrechnung!$X$3+BC9)/2)^Konstanten!$H$6*(Konstanten!$C$6-(BC9-Massenstromrechnung!$X$3)^Konstanten!$I$6*Konstanten!$D$6)</f>
        <v>629.48072819913875</v>
      </c>
      <c r="BF9" s="104">
        <f>IF(BD9="trocken",BE9,IF(Konstanten!$A$18*(Massenstromrechnung!$Y$6^Konstanten!$B$18*(Massenstromrechnung!$X$4-(Iteration!BC9+Massenstromrechnung!$X$3)/2)^Konstanten!$C$18*BE9^Konstanten!$D$18*((Massenstromrechnung!$X$3+Iteration!BC9)/2)^Konstanten!$E$18+(Iteration!BC9-Massenstromrechnung!$X$3)^Konstanten!$F$18)&lt;1,BE9,BE9*Konstanten!$A$18*(Massenstromrechnung!$Y$6^Konstanten!$B$18*(Massenstromrechnung!$X$4-(Iteration!BC9+Massenstromrechnung!$X$3)/2)^Konstanten!$C$18*BE9^Konstanten!$D$18*((Massenstromrechnung!$X$3+Iteration!BC9)/2)^Konstanten!$E$18+(Iteration!BC9-Massenstromrechnung!$X$3)^Konstanten!$F$18)))</f>
        <v>866.47925791724515</v>
      </c>
      <c r="BG9" s="101">
        <f>BF9/(Massenstromrechnung!$R19*Konstanten!$K$3/3.6)+Massenstromrechnung!$X$3</f>
        <v>12.018515946856301</v>
      </c>
      <c r="BH9" s="103" t="str">
        <f>IF(OR(Massenstromrechnung!$Y$6&lt;(BG9*50+Massenstromrechnung!$X$3)/51,(Massenstromrechnung!$Y$6-(BG9*51+Massenstromrechnung!$X$3)/51)&lt;0.7),"trocken","feucht")</f>
        <v>feucht</v>
      </c>
      <c r="BI9" s="104">
        <f>(Massenstromrechnung!$X$4-(Massenstromrechnung!$X$3+BG9)/2)^Konstanten!$E$6*$AK9*$AL9^Konstanten!$F$6*(BG9-Massenstromrechnung!$X$3)^Konstanten!$G$6*((Massenstromrechnung!$X$3+BG9)/2)^Konstanten!$H$6*(Konstanten!$C$6-(BG9-Massenstromrechnung!$X$3)^Konstanten!$I$6*Konstanten!$D$6)</f>
        <v>627.38609439294839</v>
      </c>
      <c r="BJ9" s="104">
        <f>IF(BH9="trocken",BI9,IF(Konstanten!$A$18*(Massenstromrechnung!$Y$6^Konstanten!$B$18*(Massenstromrechnung!$X$4-(Iteration!BG9+Massenstromrechnung!$X$3)/2)^Konstanten!$C$18*BI9^Konstanten!$D$18*((Massenstromrechnung!$X$3+Iteration!BG9)/2)^Konstanten!$E$18+(Iteration!BG9-Massenstromrechnung!$X$3)^Konstanten!$F$18)&lt;1,BI9,BI9*Konstanten!$A$18*(Massenstromrechnung!$Y$6^Konstanten!$B$18*(Massenstromrechnung!$X$4-(Iteration!BG9+Massenstromrechnung!$X$3)/2)^Konstanten!$C$18*BI9^Konstanten!$D$18*((Massenstromrechnung!$X$3+Iteration!BG9)/2)^Konstanten!$E$18+(Iteration!BG9-Massenstromrechnung!$X$3)^Konstanten!$F$18)))</f>
        <v>862.14569521984038</v>
      </c>
      <c r="BK9" s="101">
        <f>IF(BJ9/(Massenstromrechnung!$R19*Konstanten!$K$3/3.6)+Massenstromrechnung!$X$3-Massenstromrechnung!$X$3&lt;1.4,"RLT zu niedrig",BJ9/(Massenstromrechnung!$R19*Konstanten!$K$3/3.6)+Massenstromrechnung!$X$3)</f>
        <v>11.993416611465511</v>
      </c>
      <c r="BL9" s="103" t="str">
        <f>IF(BK9="RLT zu niedrig","RLT zu niedrig",IF(OR(Massenstromrechnung!$Y$6&lt;(BK9*50+Massenstromrechnung!$X$3)/51,(Massenstromrechnung!$Y$6-(BK9*51+Massenstromrechnung!$X$3)/51)&lt;0.7),"trocken","feucht"))</f>
        <v>feucht</v>
      </c>
      <c r="BM9" s="104">
        <f>IF(BK9="RLT zu niedrig","RLT zu niedrig",(Massenstromrechnung!$X$4-(Massenstromrechnung!$X$3+BK9)/2)^Konstanten!$E$6*$AK9*$AL9^Konstanten!$F$6*(BK9-Massenstromrechnung!$X$3)^Konstanten!$G$6*((Massenstromrechnung!$X$3+BK9)/2)^Konstanten!$H$6*(Konstanten!$C$6-(BK9-Massenstromrechnung!$X$3)^Konstanten!$I$6*Konstanten!$D$6))</f>
        <v>628.13229109996951</v>
      </c>
      <c r="BN9" s="104">
        <f>IF(BK9="RLT zu niedrig","RLT zu niedrig",IF(BL9="trocken",BM9,IF(Konstanten!$A$18*(Massenstromrechnung!$Y$6^Konstanten!$B$18*(Massenstromrechnung!$X$4-(Iteration!BK9+Massenstromrechnung!$X$3)/2)^Konstanten!$C$18*BM9^Konstanten!$D$18*((Massenstromrechnung!$X$3+Iteration!BK9)/2)^Konstanten!$E$18+(Iteration!BK9-Massenstromrechnung!$X$3)^Konstanten!$F$18)&lt;1,BM9,BM9*Konstanten!$A$18*(Massenstromrechnung!$Y$6^Konstanten!$B$18*(Massenstromrechnung!$X$4-(Iteration!BK9+Massenstromrechnung!$X$3)/2)^Konstanten!$C$18*BM9^Konstanten!$D$18*((Massenstromrechnung!$X$3+Iteration!BK9)/2)^Konstanten!$E$18+(Iteration!BK9-Massenstromrechnung!$X$3)^Konstanten!$F$18))))</f>
        <v>863.68709899175906</v>
      </c>
      <c r="BO9" s="101"/>
      <c r="BP9">
        <f t="shared" si="10"/>
        <v>710</v>
      </c>
      <c r="BQ9">
        <f t="shared" si="10"/>
        <v>735</v>
      </c>
      <c r="BR9" s="103">
        <f>Massenstromrechnung!$X$3+2</f>
        <v>9</v>
      </c>
      <c r="BS9" s="103" t="str">
        <f>IF(OR(Massenstromrechnung!$Y$6&lt;(BR9*50+Massenstromrechnung!$X$3)/51,(Massenstromrechnung!$Y$6-(BR9*51+Massenstromrechnung!$X$3)/51)&lt;0.7),"trocken","feucht")</f>
        <v>feucht</v>
      </c>
      <c r="BT9" s="104">
        <f>(Massenstromrechnung!$X$4-(Massenstromrechnung!$X$3+BR9)/2)^Konstanten!$E$7*$AK9*$AL9^Konstanten!$F$7*(BR9-Massenstromrechnung!$X$3)^Konstanten!$G$7*((Massenstromrechnung!$X$3+BR9)/2)^Konstanten!$H$7*(Konstanten!$C$7-(BR9-Massenstromrechnung!$X$3)^Konstanten!$I$7*Konstanten!$D$7)</f>
        <v>775.17306294126149</v>
      </c>
      <c r="BU9" s="104">
        <f>IF(BS9="trocken",BT9,IF(Konstanten!$A$18*(Massenstromrechnung!$Y$6^Konstanten!$B$18*(Massenstromrechnung!$X$4-(Iteration!BR9+Massenstromrechnung!$X$3)/2)^Konstanten!$C$18*BT9^Konstanten!$D$18*((Massenstromrechnung!$X$3+Iteration!BR9)/2)^Konstanten!$E$18+(Iteration!BR9-Massenstromrechnung!$X$3)^Konstanten!$F$18)&lt;1,BT9,BT9*Konstanten!$A$18*(Massenstromrechnung!$Y$6^Konstanten!$B$18*(Massenstromrechnung!$X$4-(Iteration!BR9+Massenstromrechnung!$X$3)/2)^Konstanten!$C$18*BT9^Konstanten!$D$18*((Massenstromrechnung!$X$3+Iteration!BR9)/2)^Konstanten!$E$18+(Iteration!BR9-Massenstromrechnung!$X$3)^Konstanten!$F$18)))</f>
        <v>1169.0667805566095</v>
      </c>
      <c r="BV9" s="101">
        <f>BU9/(Massenstromrechnung!$AA19*Konstanten!$K$3/3.6)+Massenstromrechnung!$X$3</f>
        <v>13.892090540801007</v>
      </c>
      <c r="BW9" s="103" t="str">
        <f>IF(OR(Massenstromrechnung!$Y$6&lt;(BV9*50+Massenstromrechnung!$X$3)/51,(Massenstromrechnung!$Y$6-(BV9*51+Massenstromrechnung!$X$3)/51)&lt;0.7),"trocken","feucht")</f>
        <v>feucht</v>
      </c>
      <c r="BX9" s="104">
        <f>(Massenstromrechnung!$X$4-(Massenstromrechnung!$X$3+BV9)/2)^Konstanten!$E$7*$AK9*$AL9^Konstanten!$F$7*(BV9-Massenstromrechnung!$X$3)^Konstanten!$G$7*((Massenstromrechnung!$X$3+BV9)/2)^Konstanten!$H$7*(Konstanten!$C$7-(BV9-Massenstromrechnung!$X$3)^Konstanten!$I$7*Konstanten!$D$7)</f>
        <v>554.20252763372446</v>
      </c>
      <c r="BY9" s="104">
        <f>IF(BW9="trocken",BX9,IF(Konstanten!$A$18*(Massenstromrechnung!$Y$6^Konstanten!$B$18*(Massenstromrechnung!$X$4-(Iteration!BV9+Massenstromrechnung!$X$3)/2)^Konstanten!$C$18*BX9^Konstanten!$D$18*((Massenstromrechnung!$X$3+Iteration!BV9)/2)^Konstanten!$E$18+(Iteration!BV9-Massenstromrechnung!$X$3)^Konstanten!$F$18)&lt;1,BX9,BX9*Konstanten!$A$18*(Massenstromrechnung!$Y$6^Konstanten!$B$18*(Massenstromrechnung!$X$4-(Iteration!BV9+Massenstromrechnung!$X$3)/2)^Konstanten!$C$18*BX9^Konstanten!$D$18*((Massenstromrechnung!$X$3+Iteration!BV9)/2)^Konstanten!$E$18+(Iteration!BV9-Massenstromrechnung!$X$3)^Konstanten!$F$18)))</f>
        <v>732.69241778073456</v>
      </c>
      <c r="BZ9" s="101">
        <f>BY9/(Massenstromrechnung!$AA19*Konstanten!$K$3/3.6)+Massenstromrechnung!$X$3</f>
        <v>11.319498736846278</v>
      </c>
      <c r="CA9" s="103" t="str">
        <f>IF(OR(Massenstromrechnung!$Y$6&lt;(BZ9*50+Massenstromrechnung!$X$3)/51,(Massenstromrechnung!$Y$6-(BZ9*51+Massenstromrechnung!$X$3)/51)&lt;0.7),"trocken","feucht")</f>
        <v>feucht</v>
      </c>
      <c r="CB9" s="104">
        <f>(Massenstromrechnung!$X$4-(Massenstromrechnung!$X$3+BZ9)/2)^Konstanten!$E$7*$AK9*$AL9^Konstanten!$F$7*(BZ9-Massenstromrechnung!$X$3)^Konstanten!$G$7*((Massenstromrechnung!$X$3+BZ9)/2)^Konstanten!$H$7*(Konstanten!$C$7-(BZ9-Massenstromrechnung!$X$3)^Konstanten!$I$7*Konstanten!$D$7)</f>
        <v>643.41061897485622</v>
      </c>
      <c r="CC9" s="104">
        <f>IF(CA9="trocken",CB9,IF(Konstanten!$A$18*(Massenstromrechnung!$Y$6^Konstanten!$B$18*(Massenstromrechnung!$X$4-(Iteration!BZ9+Massenstromrechnung!$X$3)/2)^Konstanten!$C$18*CB9^Konstanten!$D$18*((Massenstromrechnung!$X$3+Iteration!BZ9)/2)^Konstanten!$E$18+(Iteration!BZ9-Massenstromrechnung!$X$3)^Konstanten!$F$18)&lt;1,CB9,CB9*Konstanten!$A$18*(Massenstromrechnung!$Y$6^Konstanten!$B$18*(Massenstromrechnung!$X$4-(Iteration!BZ9+Massenstromrechnung!$X$3)/2)^Konstanten!$C$18*CB9^Konstanten!$D$18*((Massenstromrechnung!$X$3+Iteration!BZ9)/2)^Konstanten!$E$18+(Iteration!BZ9-Massenstromrechnung!$X$3)^Konstanten!$F$18)))</f>
        <v>899.9429839358105</v>
      </c>
      <c r="CD9" s="101">
        <f>CC9/(Massenstromrechnung!$AA19*Konstanten!$K$3/3.6)+Massenstromrechnung!$X$3</f>
        <v>12.305504039633337</v>
      </c>
      <c r="CE9" s="103" t="str">
        <f>IF(OR(Massenstromrechnung!$Y$6&lt;(CD9*50+Massenstromrechnung!$X$3)/51,(Massenstromrechnung!$Y$6-(CD9*51+Massenstromrechnung!$X$3)/51)&lt;0.7),"trocken","feucht")</f>
        <v>feucht</v>
      </c>
      <c r="CF9" s="104">
        <f>(Massenstromrechnung!$X$4-(Massenstromrechnung!$X$3+CD9)/2)^Konstanten!$E$7*$AK9*$AL9^Konstanten!$F$7*(CD9-Massenstromrechnung!$X$3)^Konstanten!$G$7*((Massenstromrechnung!$X$3+CD9)/2)^Konstanten!$H$7*(Konstanten!$C$7-(CD9-Massenstromrechnung!$X$3)^Konstanten!$I$7*Konstanten!$D$7)</f>
        <v>605.44036389931875</v>
      </c>
      <c r="CG9" s="104">
        <f>IF(CE9="trocken",CF9,IF(Konstanten!$A$18*(Massenstromrechnung!$Y$6^Konstanten!$B$18*(Massenstromrechnung!$X$4-(Iteration!CD9+Massenstromrechnung!$X$3)/2)^Konstanten!$C$18*CF9^Konstanten!$D$18*((Massenstromrechnung!$X$3+Iteration!CD9)/2)^Konstanten!$E$18+(Iteration!CD9-Massenstromrechnung!$X$3)^Konstanten!$F$18)&lt;1,CF9,CF9*Konstanten!$A$18*(Massenstromrechnung!$Y$6^Konstanten!$B$18*(Massenstromrechnung!$X$4-(Iteration!CD9+Massenstromrechnung!$X$3)/2)^Konstanten!$C$18*CF9^Konstanten!$D$18*((Massenstromrechnung!$X$3+Iteration!CD9)/2)^Konstanten!$E$18+(Iteration!CD9-Massenstromrechnung!$X$3)^Konstanten!$F$18)))</f>
        <v>826.98046782170161</v>
      </c>
      <c r="CH9" s="101">
        <f>CG9/(Massenstromrechnung!$AA19*Konstanten!$K$3/3.6)+Massenstromrechnung!$X$3</f>
        <v>11.875362429670158</v>
      </c>
      <c r="CI9" s="103" t="str">
        <f>IF(OR(Massenstromrechnung!$Y$6&lt;(CH9*50+Massenstromrechnung!$X$3)/51,(Massenstromrechnung!$Y$6-(CH9*51+Massenstromrechnung!$X$3)/51)&lt;0.7),"trocken","feucht")</f>
        <v>feucht</v>
      </c>
      <c r="CJ9" s="104">
        <f>(Massenstromrechnung!$X$4-(Massenstromrechnung!$X$3+CH9)/2)^Konstanten!$E$7*$AK9*$AL9^Konstanten!$F$7*(CH9-Massenstromrechnung!$X$3)^Konstanten!$G$7*((Massenstromrechnung!$X$3+CH9)/2)^Konstanten!$H$7*(Konstanten!$C$7-(CH9-Massenstromrechnung!$X$3)^Konstanten!$I$7*Konstanten!$D$7)</f>
        <v>621.26555850496322</v>
      </c>
      <c r="CK9" s="104">
        <f>IF(CI9="trocken",CJ9,IF(Konstanten!$A$18*(Massenstromrechnung!$Y$6^Konstanten!$B$18*(Massenstromrechnung!$X$4-(Iteration!CH9+Massenstromrechnung!$X$3)/2)^Konstanten!$C$18*CJ9^Konstanten!$D$18*((Massenstromrechnung!$X$3+Iteration!CH9)/2)^Konstanten!$E$18+(Iteration!CH9-Massenstromrechnung!$X$3)^Konstanten!$F$18)&lt;1,CJ9,CJ9*Konstanten!$A$18*(Massenstromrechnung!$Y$6^Konstanten!$B$18*(Massenstromrechnung!$X$4-(Iteration!CH9+Massenstromrechnung!$X$3)/2)^Konstanten!$C$18*CJ9^Konstanten!$D$18*((Massenstromrechnung!$X$3+Iteration!CH9)/2)^Konstanten!$E$18+(Iteration!CH9-Massenstromrechnung!$X$3)^Konstanten!$F$18)))</f>
        <v>857.09636644402246</v>
      </c>
      <c r="CL9" s="101">
        <f>CK9/(Massenstromrechnung!$AA19*Konstanten!$K$3/3.6)+Massenstromrechnung!$X$3</f>
        <v>12.052907034884068</v>
      </c>
      <c r="CM9" s="103" t="str">
        <f>IF(OR(Massenstromrechnung!$Y$6&lt;(CL9*50+Massenstromrechnung!$X$3)/51,(Massenstromrechnung!$Y$6-(CL9*51+Massenstromrechnung!$X$3)/51)&lt;0.7),"trocken","feucht")</f>
        <v>feucht</v>
      </c>
      <c r="CN9" s="104">
        <f>(Massenstromrechnung!$X$4-(Massenstromrechnung!$X$3+CL9)/2)^Konstanten!$E$7*$AK9*$AL9^Konstanten!$F$7*(CL9-Massenstromrechnung!$X$3)^Konstanten!$G$7*((Massenstromrechnung!$X$3+CL9)/2)^Konstanten!$H$7*(Konstanten!$C$7-(CL9-Massenstromrechnung!$X$3)^Konstanten!$I$7*Konstanten!$D$7)</f>
        <v>614.60904957024775</v>
      </c>
      <c r="CO9" s="104">
        <f>IF(CM9="trocken",CN9,IF(Konstanten!$A$18*(Massenstromrechnung!$Y$6^Konstanten!$B$18*(Massenstromrechnung!$X$4-(Iteration!CL9+Massenstromrechnung!$X$3)/2)^Konstanten!$C$18*CN9^Konstanten!$D$18*((Massenstromrechnung!$X$3+Iteration!CL9)/2)^Konstanten!$E$18+(Iteration!CL9-Massenstromrechnung!$X$3)^Konstanten!$F$18)&lt;1,CN9,CN9*Konstanten!$A$18*(Massenstromrechnung!$Y$6^Konstanten!$B$18*(Massenstromrechnung!$X$4-(Iteration!CL9+Massenstromrechnung!$X$3)/2)^Konstanten!$C$18*CN9^Konstanten!$D$18*((Massenstromrechnung!$X$3+Iteration!CL9)/2)^Konstanten!$E$18+(Iteration!CL9-Massenstromrechnung!$X$3)^Konstanten!$F$18)))</f>
        <v>844.37575133133976</v>
      </c>
      <c r="CP9" s="101">
        <f>IF(CO9/(Massenstromrechnung!$AA19*Konstanten!$K$3/3.6)+Massenstromrechnung!$X$3-Massenstromrechnung!$X$3&lt;1.4,"RLT zu niedrig",CO9/(Massenstromrechnung!$AA19*Konstanten!$K$3/3.6)+Massenstromrechnung!$X$3)</f>
        <v>11.977914200813846</v>
      </c>
      <c r="CQ9" s="103" t="str">
        <f>IF(CP9="RLT zu niedrig","RLT zu niedrig",IF(OR(Massenstromrechnung!$Y$6&lt;(CP9*50+Massenstromrechnung!$X$3)/51,(Massenstromrechnung!$Y$6-(CP9*51+Massenstromrechnung!$X$3)/51)&lt;0.7),"trocken","feucht"))</f>
        <v>feucht</v>
      </c>
      <c r="CR9" s="104">
        <f>IF(CP9="RLT zu niedrig","RLT zu niedrig",(Massenstromrechnung!$X$4-(Massenstromrechnung!$X$3+CP9)/2)^Konstanten!$E$7*$AK9*$AL9^Konstanten!$F$7*(CP9-Massenstromrechnung!$X$3)^Konstanten!$G$7*((Massenstromrechnung!$X$3+CP9)/2)^Konstanten!$H$7*(Konstanten!$C$7-(CP9-Massenstromrechnung!$X$3)^Konstanten!$I$7*Konstanten!$D$7))</f>
        <v>617.39835938262138</v>
      </c>
      <c r="CS9" s="104">
        <f>IF(CP9="RLT zu niedrig","RLT zu niedrig",IF(CQ9="trocken",CR9,IF(Konstanten!$A$18*(Massenstromrechnung!$Y$6^Konstanten!$B$18*(Massenstromrechnung!$X$4-(Iteration!CP9+Massenstromrechnung!$X$3)/2)^Konstanten!$C$18*CR9^Konstanten!$D$18*((Massenstromrechnung!$X$3+Iteration!CP9)/2)^Konstanten!$E$18+(Iteration!CP9-Massenstromrechnung!$X$3)^Konstanten!$F$18)&lt;1,CR9,CR9*Konstanten!$A$18*(Massenstromrechnung!$Y$6^Konstanten!$B$18*(Massenstromrechnung!$X$4-(Iteration!CP9+Massenstromrechnung!$X$3)/2)^Konstanten!$C$18*CR9^Konstanten!$D$18*((Massenstromrechnung!$X$3+Iteration!CP9)/2)^Konstanten!$E$18+(Iteration!CP9-Massenstromrechnung!$X$3)^Konstanten!$F$18))))</f>
        <v>849.69690409843918</v>
      </c>
    </row>
    <row r="10" spans="1:97" x14ac:dyDescent="0.3">
      <c r="A10">
        <f>Massenstromrechnung!B20</f>
        <v>710</v>
      </c>
      <c r="B10" s="27">
        <v>495</v>
      </c>
      <c r="C10" s="103">
        <f>IF(Massenstromrechnung!$K$3-10&lt;=Massenstromrechnung!$K$4,Massenstromrechnung!$K$3-0.75*(Massenstromrechnung!$K$3-Massenstromrechnung!$K$4),Massenstromrechnung!$K$3-10)</f>
        <v>65</v>
      </c>
      <c r="D10" s="103">
        <f>-1*((Massenstromrechnung!$K$3+C10)/2-Massenstromrechnung!$K$4)^Konstanten!$E$4*Massenstromrechnung!$B20*Massenstromrechnung!$C20^Konstanten!$F$4*(Massenstromrechnung!$K$3-C10)^Konstanten!$G$4*((Massenstromrechnung!$K$3+C10)/2)^Konstanten!$H$4*(Konstanten!$C$4-((Massenstromrechnung!$K$3-C10)^Konstanten!$I$4*Konstanten!$D$4))/(Massenstromrechnung!$F20*Konstanten!$K$3/3.6)+Massenstromrechnung!$K$3</f>
        <v>65</v>
      </c>
      <c r="E10" s="103">
        <f t="shared" si="6"/>
        <v>65</v>
      </c>
      <c r="F10" s="103">
        <f>-1*((Massenstromrechnung!$K$3+E10)/2-Massenstromrechnung!$K$4)^Konstanten!$E$4*Massenstromrechnung!$B20*Massenstromrechnung!$C20^Konstanten!$F$4*(Massenstromrechnung!$K$3-E10)^Konstanten!$G$4*((Massenstromrechnung!$K$3+E10)/2)^Konstanten!$H$4*(Konstanten!$C$4-((Massenstromrechnung!$K$3-E10)^Konstanten!$I$4*Konstanten!$D$4))/(Massenstromrechnung!$F20*Konstanten!$K$3/3.6)+Massenstromrechnung!$K$3</f>
        <v>65</v>
      </c>
      <c r="G10" s="103">
        <f t="shared" si="0"/>
        <v>65</v>
      </c>
      <c r="H10" s="103">
        <f>-1*((Massenstromrechnung!$K$3+G10)/2-Massenstromrechnung!$K$4)^Konstanten!$E$4*Massenstromrechnung!$B20*Massenstromrechnung!$C20^Konstanten!$F$4*(Massenstromrechnung!$K$3-G10)^Konstanten!$G$4*((Massenstromrechnung!$K$3+G10)/2)^Konstanten!$H$4*(Konstanten!$C$4-((Massenstromrechnung!$K$3-G10)^Konstanten!$I$4*Konstanten!$D$4))/(Massenstromrechnung!$F20*Konstanten!$K$3/3.6)+Massenstromrechnung!$K$3</f>
        <v>65</v>
      </c>
      <c r="I10" s="103">
        <f t="shared" si="1"/>
        <v>65</v>
      </c>
      <c r="J10" s="103">
        <f>-1*((Massenstromrechnung!$K$3+I10)/2-Massenstromrechnung!$K$4)^Konstanten!$E$4*Massenstromrechnung!$B20*Massenstromrechnung!$C20^Konstanten!$F$4*(Massenstromrechnung!$K$3-I10)^Konstanten!$G$4*((Massenstromrechnung!$K$3+I10)/2)^Konstanten!$H$4*(Konstanten!$C$4-((Massenstromrechnung!$K$3-I10)^Konstanten!$I$4*Konstanten!$D$4))/(Massenstromrechnung!$F20*Konstanten!$K$3/3.6)+Massenstromrechnung!$K$3</f>
        <v>65</v>
      </c>
      <c r="K10" s="103">
        <f t="shared" si="2"/>
        <v>65</v>
      </c>
      <c r="L10" s="103">
        <f>-1*((Massenstromrechnung!$K$3+K10)/2-Massenstromrechnung!$K$4)^Konstanten!$E$4*Massenstromrechnung!$B20*Massenstromrechnung!$C20^Konstanten!$F$4*(Massenstromrechnung!$K$3-K10)^Konstanten!$G$4*((Massenstromrechnung!$K$3+K10)/2)^Konstanten!$H$4*(Konstanten!$C$4-((Massenstromrechnung!$K$3-K10)^Konstanten!$I$4*Konstanten!$D$4))/(Massenstromrechnung!$F20*Konstanten!$K$3/3.6)+Massenstromrechnung!$K$3</f>
        <v>65</v>
      </c>
      <c r="N10">
        <f>'Katalogdaten M3G045'!B24</f>
        <v>710</v>
      </c>
      <c r="O10" s="27">
        <v>495</v>
      </c>
      <c r="P10" s="103">
        <f>IF(Massenstromrechnung!$K$3-10&lt;=Massenstromrechnung!$K$4,Massenstromrechnung!$K$3-0.75*(Massenstromrechnung!$K$3-Massenstromrechnung!$K$4),Massenstromrechnung!$K$3-10)</f>
        <v>65</v>
      </c>
      <c r="Q10" s="103" t="e">
        <f>-1*((Massenstromrechnung!$K$3+P10)/2-Massenstromrechnung!$K$4)^Konstanten!$E$4*Massenstromrechnung!$B20*Massenstromrechnung!$C20^Konstanten!$F$4*(Massenstromrechnung!$K$3-P10)^Konstanten!$G$4*((Massenstromrechnung!$K$3+P10)/2)^Konstanten!$H$4*(Konstanten!$C$4-((Massenstromrechnung!$K$3-P10)^Konstanten!$I$4*Konstanten!$D$4))/(Massenstromrechnung!#REF!*Konstanten!$K$3/3.6)+Massenstromrechnung!$K$3</f>
        <v>#REF!</v>
      </c>
      <c r="R10" s="103" t="e">
        <f t="shared" si="7"/>
        <v>#REF!</v>
      </c>
      <c r="S10" s="103" t="e">
        <f>-1*((Massenstromrechnung!$K$3+R10)/2-Massenstromrechnung!$K$4)^Konstanten!$E$4*Massenstromrechnung!$B20*Massenstromrechnung!$C20^Konstanten!$F$4*(Massenstromrechnung!$K$3-R10)^Konstanten!$G$4*((Massenstromrechnung!$K$3+R10)/2)^Konstanten!$H$4*(Konstanten!$C$4-((Massenstromrechnung!$K$3-R10)^Konstanten!$I$4*Konstanten!$D$4))/(Massenstromrechnung!#REF!*Konstanten!$K$3/3.6)+Massenstromrechnung!$K$3</f>
        <v>#REF!</v>
      </c>
      <c r="T10" s="103" t="e">
        <f t="shared" si="3"/>
        <v>#REF!</v>
      </c>
      <c r="U10" s="103" t="e">
        <f>-1*((Massenstromrechnung!$K$3+T10)/2-Massenstromrechnung!$K$4)^Konstanten!$E$4*Massenstromrechnung!$B20*Massenstromrechnung!$C20^Konstanten!$F$4*(Massenstromrechnung!$K$3-T10)^Konstanten!$G$4*((Massenstromrechnung!$K$3+T10)/2)^Konstanten!$H$4*(Konstanten!$C$4-((Massenstromrechnung!$K$3-T10)^Konstanten!$I$4*Konstanten!$D$4))/(Massenstromrechnung!#REF!*Konstanten!$K$3/3.6)+Massenstromrechnung!$K$3</f>
        <v>#REF!</v>
      </c>
      <c r="V10" s="103" t="e">
        <f t="shared" si="4"/>
        <v>#REF!</v>
      </c>
      <c r="W10" s="103" t="e">
        <f>-1*((Massenstromrechnung!$K$3+V10)/2-Massenstromrechnung!$K$4)^Konstanten!$E$4*Massenstromrechnung!$B20*Massenstromrechnung!$C20^Konstanten!$F$4*(Massenstromrechnung!$K$3-V10)^Konstanten!$G$4*((Massenstromrechnung!$K$3+V10)/2)^Konstanten!$H$4*(Konstanten!$C$4-((Massenstromrechnung!$K$3-V10)^Konstanten!$I$4*Konstanten!$D$4))/(Massenstromrechnung!#REF!*Konstanten!$K$3/3.6)+Massenstromrechnung!$K$3</f>
        <v>#REF!</v>
      </c>
      <c r="X10" s="103" t="e">
        <f t="shared" si="5"/>
        <v>#REF!</v>
      </c>
      <c r="Y10" s="103" t="e">
        <f>-1*((Massenstromrechnung!$K$3+X10)/2-Massenstromrechnung!$K$4)^Konstanten!$E$4*Massenstromrechnung!$B20*Massenstromrechnung!$C20^Konstanten!$F$4*(Massenstromrechnung!$K$3-X10)^Konstanten!$G$4*((Massenstromrechnung!$K$3+X10)/2)^Konstanten!$H$4*(Konstanten!$C$4-((Massenstromrechnung!$K$3-X10)^Konstanten!$I$4*Konstanten!$D$4))/(Massenstromrechnung!#REF!*Konstanten!$K$3/3.6)+Massenstromrechnung!$K$3</f>
        <v>#REF!</v>
      </c>
      <c r="AA10">
        <f t="shared" si="8"/>
        <v>710</v>
      </c>
      <c r="AB10">
        <f t="shared" si="8"/>
        <v>495</v>
      </c>
      <c r="AC10" s="103">
        <f>IF(Massenstromrechnung!$K$3-10&lt;=Massenstromrechnung!$K$4,Massenstromrechnung!$K$3-0.75*(Massenstromrechnung!$K$3-Massenstromrechnung!$K$4),Massenstromrechnung!$K$3-10)</f>
        <v>65</v>
      </c>
      <c r="AD10" s="103">
        <f>-1*((Massenstromrechnung!$K$3+AC10)/2-Massenstromrechnung!$K$4)^Konstanten!$E$5*$AA10*$AB10^Konstanten!$F$5*(Massenstromrechnung!$K$3-AC10)^Konstanten!$G$5*((Massenstromrechnung!$K$3+AC10)/2)^Konstanten!$H$5*(Konstanten!$C$5-((Massenstromrechnung!$K$3-AC10)^Konstanten!$I$5*Konstanten!$D$5))/(Massenstromrechnung!$L20*Konstanten!$K$3/3.6)+Massenstromrechnung!$K$3</f>
        <v>65</v>
      </c>
      <c r="AE10" s="103">
        <f>-1*((Massenstromrechnung!$K$3+AD10)/2-Massenstromrechnung!$K$4)^Konstanten!$E$5*$AA10*$AB10^Konstanten!$F$5*(Massenstromrechnung!$K$3-AD10)^Konstanten!$G$5*((Massenstromrechnung!$K$3+AD10)/2)^Konstanten!$H$5*(Konstanten!$C$5-((Massenstromrechnung!$K$3-AD10)^Konstanten!$I$5*Konstanten!$D$5))/(Massenstromrechnung!$L20*Konstanten!$K$3/3.6)+Massenstromrechnung!$K$3</f>
        <v>65</v>
      </c>
      <c r="AF10" s="103">
        <f>-1*((Massenstromrechnung!$K$3+AE10)/2-Massenstromrechnung!$K$4)^Konstanten!$E$5*$AA10*$AB10^Konstanten!$F$5*(Massenstromrechnung!$K$3-AE10)^Konstanten!$G$5*((Massenstromrechnung!$K$3+AE10)/2)^Konstanten!$H$5*(Konstanten!$C$5-((Massenstromrechnung!$K$3-AE10)^Konstanten!$I$5*Konstanten!$D$5))/(Massenstromrechnung!$L20*Konstanten!$K$3/3.6)+Massenstromrechnung!$K$3</f>
        <v>65</v>
      </c>
      <c r="AG10" s="103">
        <f>-1*((Massenstromrechnung!$K$3+AF10)/2-Massenstromrechnung!$K$4)^Konstanten!$E$5*$AA10*$AB10^Konstanten!$F$5*(Massenstromrechnung!$K$3-AF10)^Konstanten!$G$5*((Massenstromrechnung!$K$3+AF10)/2)^Konstanten!$H$5*(Konstanten!$C$5-((Massenstromrechnung!$K$3-AF10)^Konstanten!$I$5*Konstanten!$D$5))/(Massenstromrechnung!$L20*Konstanten!$K$3/3.6)+Massenstromrechnung!$K$3</f>
        <v>65</v>
      </c>
      <c r="AH10" s="103">
        <f>-1*((Massenstromrechnung!$K$3+AG10)/2-Massenstromrechnung!$K$4)^Konstanten!$E$5*$AA10*$AB10^Konstanten!$F$5*(Massenstromrechnung!$K$3-AG10)^Konstanten!$G$5*((Massenstromrechnung!$K$3+AG10)/2)^Konstanten!$H$5*(Konstanten!$C$5-((Massenstromrechnung!$K$3-AG10)^Konstanten!$I$5*Konstanten!$D$5))/(Massenstromrechnung!$L20*Konstanten!$K$3/3.6)+Massenstromrechnung!$K$3</f>
        <v>65</v>
      </c>
      <c r="AI10" s="103">
        <f>-1*((Massenstromrechnung!$K$3+AH10)/2-Massenstromrechnung!$K$4)^Konstanten!$E$5*$AA10*$AB10^Konstanten!$F$5*(Massenstromrechnung!$K$3-AH10)^Konstanten!$G$5*((Massenstromrechnung!$K$3+AH10)/2)^Konstanten!$H$5*(Konstanten!$C$5-((Massenstromrechnung!$K$3-AH10)^Konstanten!$I$5*Konstanten!$D$5))/(Massenstromrechnung!$L20*Konstanten!$K$3/3.6)+Massenstromrechnung!$K$3</f>
        <v>65</v>
      </c>
      <c r="AK10">
        <f t="shared" si="9"/>
        <v>710</v>
      </c>
      <c r="AL10">
        <f t="shared" si="9"/>
        <v>495</v>
      </c>
      <c r="AM10" s="103">
        <f>Massenstromrechnung!$X$3+2</f>
        <v>9</v>
      </c>
      <c r="AN10" s="103" t="str">
        <f>IF(OR(Massenstromrechnung!$Y$6&lt;(AM10*50+Massenstromrechnung!$X$3)/51,(Massenstromrechnung!$Y$6-(AM10*51+Massenstromrechnung!$X$3)/51)&lt;0.7),"trocken","feucht")</f>
        <v>feucht</v>
      </c>
      <c r="AO10" s="104">
        <f>(Massenstromrechnung!$X$4-(Massenstromrechnung!$X$3+AM10)/2)^Konstanten!$E$6*$AK10*$AL10^Konstanten!$F$6*(AM10-Massenstromrechnung!$X$3)^Konstanten!$G$6*((Massenstromrechnung!$X$3+AM10)/2)^Konstanten!$H$6*(Konstanten!$C$6-(AM10-Massenstromrechnung!$X$3)^Konstanten!$I$6*Konstanten!$D$6)</f>
        <v>398.16495944931756</v>
      </c>
      <c r="AP10" s="104">
        <f>IF(AN10="trocken",AO10,IF(Konstanten!$A$18*(Massenstromrechnung!$Y$6^Konstanten!$B$18*(Massenstromrechnung!$X$4-(Iteration!AM10+Massenstromrechnung!$X$3)/2)^Konstanten!$C$18*AO10^Konstanten!$D$18*((Massenstromrechnung!$X$3+Iteration!AM10)/2)^Konstanten!$E$18+(Iteration!AM10-Massenstromrechnung!$X$3)^Konstanten!$F$18)&lt;1,AO10,AO10*Konstanten!$A$18*(Massenstromrechnung!$Y$6^Konstanten!$B$18*(Massenstromrechnung!$X$4-(Iteration!AM10+Massenstromrechnung!$X$3)/2)^Konstanten!$C$18*AO10^Konstanten!$D$18*((Massenstromrechnung!$X$3+Iteration!AM10)/2)^Konstanten!$E$18+(Iteration!AM10-Massenstromrechnung!$X$3)^Konstanten!$F$18)))</f>
        <v>612.19730136646388</v>
      </c>
      <c r="AQ10" s="101">
        <f>AP10/(Massenstromrechnung!$R20*Konstanten!$K$3/3.6)+Massenstromrechnung!$X$3</f>
        <v>13.21167693075234</v>
      </c>
      <c r="AR10" s="103" t="str">
        <f>IF(OR(Massenstromrechnung!$Y$6&lt;(AQ10*50+Massenstromrechnung!$X$3)/51,(Massenstromrechnung!$Y$6-(AQ10*51+Massenstromrechnung!$X$3)/51)&lt;0.7),"trocken","feucht")</f>
        <v>feucht</v>
      </c>
      <c r="AS10" s="104">
        <f>(Massenstromrechnung!$X$4-(Massenstromrechnung!$X$3+AQ10)/2)^Konstanten!$E$6*$AK10*$AL10^Konstanten!$F$6*(AQ10-Massenstromrechnung!$X$3)^Konstanten!$G$6*((Massenstromrechnung!$X$3+AQ10)/2)^Konstanten!$H$6*(Konstanten!$C$6-(AQ10-Massenstromrechnung!$X$3)^Konstanten!$I$6*Konstanten!$D$6)</f>
        <v>332.75693752286696</v>
      </c>
      <c r="AT10" s="104">
        <f>IF(AR10="trocken",AS10,IF(Konstanten!$A$18*(Massenstromrechnung!$Y$6^Konstanten!$B$18*(Massenstromrechnung!$X$4-(Iteration!AQ10+Massenstromrechnung!$X$3)/2)^Konstanten!$C$18*AS10^Konstanten!$D$18*((Massenstromrechnung!$X$3+Iteration!AQ10)/2)^Konstanten!$E$18+(Iteration!AQ10-Massenstromrechnung!$X$3)^Konstanten!$F$18)&lt;1,AS10,AS10*Konstanten!$A$18*(Massenstromrechnung!$Y$6^Konstanten!$B$18*(Massenstromrechnung!$X$4-(Iteration!AQ10+Massenstromrechnung!$X$3)/2)^Konstanten!$C$18*AS10^Konstanten!$D$18*((Massenstromrechnung!$X$3+Iteration!AQ10)/2)^Konstanten!$E$18+(Iteration!AQ10-Massenstromrechnung!$X$3)^Konstanten!$F$18)))</f>
        <v>453.16472268624557</v>
      </c>
      <c r="AU10" s="101">
        <f>AT10/(Massenstromrechnung!$R20*Konstanten!$K$3/3.6)+Massenstromrechnung!$X$3</f>
        <v>11.59804845179465</v>
      </c>
      <c r="AV10" s="103" t="str">
        <f>IF(OR(Massenstromrechnung!$Y$6&lt;(AU10*50+Massenstromrechnung!$X$3)/51,(Massenstromrechnung!$Y$6-(AU10*51+Massenstromrechnung!$X$3)/51)&lt;0.7),"trocken","feucht")</f>
        <v>feucht</v>
      </c>
      <c r="AW10" s="104">
        <f>(Massenstromrechnung!$X$4-(Massenstromrechnung!$X$3+AU10)/2)^Konstanten!$E$6*$AK10*$AL10^Konstanten!$F$6*(AU10-Massenstromrechnung!$X$3)^Konstanten!$G$6*((Massenstromrechnung!$X$3+AU10)/2)^Konstanten!$H$6*(Konstanten!$C$6-(AU10-Massenstromrechnung!$X$3)^Konstanten!$I$6*Konstanten!$D$6)</f>
        <v>359.08685671211464</v>
      </c>
      <c r="AX10" s="104">
        <f>IF(AV10="trocken",AW10,IF(Konstanten!$A$18*(Massenstromrechnung!$Y$6^Konstanten!$B$18*(Massenstromrechnung!$X$4-(Iteration!AU10+Massenstromrechnung!$X$3)/2)^Konstanten!$C$18*AW10^Konstanten!$D$18*((Massenstromrechnung!$X$3+Iteration!AU10)/2)^Konstanten!$E$18+(Iteration!AU10-Massenstromrechnung!$X$3)^Konstanten!$F$18)&lt;1,AW10,AW10*Konstanten!$A$18*(Massenstromrechnung!$Y$6^Konstanten!$B$18*(Massenstromrechnung!$X$4-(Iteration!AU10+Massenstromrechnung!$X$3)/2)^Konstanten!$C$18*AW10^Konstanten!$D$18*((Massenstromrechnung!$X$3+Iteration!AU10)/2)^Konstanten!$E$18+(Iteration!AU10-Massenstromrechnung!$X$3)^Konstanten!$F$18)))</f>
        <v>507.2005100180308</v>
      </c>
      <c r="AY10" s="101">
        <f>AX10/(Massenstromrechnung!$R20*Konstanten!$K$3/3.6)+Massenstromrechnung!$X$3</f>
        <v>12.146324069564757</v>
      </c>
      <c r="AZ10" s="103" t="str">
        <f>IF(OR(Massenstromrechnung!$Y$6&lt;(AY10*50+Massenstromrechnung!$X$3)/51,(Massenstromrechnung!$Y$6-(AY10*51+Massenstromrechnung!$X$3)/51)&lt;0.7),"trocken","feucht")</f>
        <v>feucht</v>
      </c>
      <c r="BA10" s="104">
        <f>(Massenstromrechnung!$X$4-(Massenstromrechnung!$X$3+AY10)/2)^Konstanten!$E$6*$AK10*$AL10^Konstanten!$F$6*(AY10-Massenstromrechnung!$X$3)^Konstanten!$G$6*((Massenstromrechnung!$X$3+AY10)/2)^Konstanten!$H$6*(Konstanten!$C$6-(AY10-Massenstromrechnung!$X$3)^Konstanten!$I$6*Konstanten!$D$6)</f>
        <v>349.88542076016864</v>
      </c>
      <c r="BB10" s="104">
        <f>IF(AZ10="trocken",BA10,IF(Konstanten!$A$18*(Massenstromrechnung!$Y$6^Konstanten!$B$18*(Massenstromrechnung!$X$4-(Iteration!AY10+Massenstromrechnung!$X$3)/2)^Konstanten!$C$18*BA10^Konstanten!$D$18*((Massenstromrechnung!$X$3+Iteration!AY10)/2)^Konstanten!$E$18+(Iteration!AY10-Massenstromrechnung!$X$3)^Konstanten!$F$18)&lt;1,BA10,BA10*Konstanten!$A$18*(Massenstromrechnung!$Y$6^Konstanten!$B$18*(Massenstromrechnung!$X$4-(Iteration!AY10+Massenstromrechnung!$X$3)/2)^Konstanten!$C$18*BA10^Konstanten!$D$18*((Massenstromrechnung!$X$3+Iteration!AY10)/2)^Konstanten!$E$18+(Iteration!AY10-Massenstromrechnung!$X$3)^Konstanten!$F$18)))</f>
        <v>487.69550960054534</v>
      </c>
      <c r="BC10" s="101">
        <f>BB10/(Massenstromrechnung!$R20*Konstanten!$K$3/3.6)+Massenstromrechnung!$X$3</f>
        <v>11.948416040801522</v>
      </c>
      <c r="BD10" s="103" t="str">
        <f>IF(OR(Massenstromrechnung!$Y$6&lt;(BC10*50+Massenstromrechnung!$X$3)/51,(Massenstromrechnung!$Y$6-(BC10*51+Massenstromrechnung!$X$3)/51)&lt;0.7),"trocken","feucht")</f>
        <v>feucht</v>
      </c>
      <c r="BE10" s="104">
        <f>(Massenstromrechnung!$X$4-(Massenstromrechnung!$X$3+BC10)/2)^Konstanten!$E$6*$AK10*$AL10^Konstanten!$F$6*(BC10-Massenstromrechnung!$X$3)^Konstanten!$G$6*((Massenstromrechnung!$X$3+BC10)/2)^Konstanten!$H$6*(Konstanten!$C$6-(BC10-Massenstromrechnung!$X$3)^Konstanten!$I$6*Konstanten!$D$6)</f>
        <v>353.17975531658863</v>
      </c>
      <c r="BF10" s="104">
        <f>IF(BD10="trocken",BE10,IF(Konstanten!$A$18*(Massenstromrechnung!$Y$6^Konstanten!$B$18*(Massenstromrechnung!$X$4-(Iteration!BC10+Massenstromrechnung!$X$3)/2)^Konstanten!$C$18*BE10^Konstanten!$D$18*((Massenstromrechnung!$X$3+Iteration!BC10)/2)^Konstanten!$E$18+(Iteration!BC10-Massenstromrechnung!$X$3)^Konstanten!$F$18)&lt;1,BE10,BE10*Konstanten!$A$18*(Massenstromrechnung!$Y$6^Konstanten!$B$18*(Massenstromrechnung!$X$4-(Iteration!BC10+Massenstromrechnung!$X$3)/2)^Konstanten!$C$18*BE10^Konstanten!$D$18*((Massenstromrechnung!$X$3+Iteration!BC10)/2)^Konstanten!$E$18+(Iteration!BC10-Massenstromrechnung!$X$3)^Konstanten!$F$18)))</f>
        <v>494.59248777946493</v>
      </c>
      <c r="BG10" s="101">
        <f>BF10/(Massenstromrechnung!$R20*Konstanten!$K$3/3.6)+Massenstromrechnung!$X$3</f>
        <v>12.018396421555032</v>
      </c>
      <c r="BH10" s="103" t="str">
        <f>IF(OR(Massenstromrechnung!$Y$6&lt;(BG10*50+Massenstromrechnung!$X$3)/51,(Massenstromrechnung!$Y$6-(BG10*51+Massenstromrechnung!$X$3)/51)&lt;0.7),"trocken","feucht")</f>
        <v>feucht</v>
      </c>
      <c r="BI10" s="104">
        <f>(Massenstromrechnung!$X$4-(Massenstromrechnung!$X$3+BG10)/2)^Konstanten!$E$6*$AK10*$AL10^Konstanten!$F$6*(BG10-Massenstromrechnung!$X$3)^Konstanten!$G$6*((Massenstromrechnung!$X$3+BG10)/2)^Konstanten!$H$6*(Konstanten!$C$6-(BG10-Massenstromrechnung!$X$3)^Konstanten!$I$6*Konstanten!$D$6)</f>
        <v>352.01115644318713</v>
      </c>
      <c r="BJ10" s="104">
        <f>IF(BH10="trocken",BI10,IF(Konstanten!$A$18*(Massenstromrechnung!$Y$6^Konstanten!$B$18*(Massenstromrechnung!$X$4-(Iteration!BG10+Massenstromrechnung!$X$3)/2)^Konstanten!$C$18*BI10^Konstanten!$D$18*((Massenstromrechnung!$X$3+Iteration!BG10)/2)^Konstanten!$E$18+(Iteration!BG10-Massenstromrechnung!$X$3)^Konstanten!$F$18)&lt;1,BI10,BI10*Konstanten!$A$18*(Massenstromrechnung!$Y$6^Konstanten!$B$18*(Massenstromrechnung!$X$4-(Iteration!BG10+Massenstromrechnung!$X$3)/2)^Konstanten!$C$18*BI10^Konstanten!$D$18*((Massenstromrechnung!$X$3+Iteration!BG10)/2)^Konstanten!$E$18+(Iteration!BG10-Massenstromrechnung!$X$3)^Konstanten!$F$18)))</f>
        <v>492.13545498735039</v>
      </c>
      <c r="BK10" s="101">
        <f>IF(BJ10/(Massenstromrechnung!$R20*Konstanten!$K$3/3.6)+Massenstromrechnung!$X$3-Massenstromrechnung!$X$3&lt;1.4,"RLT zu niedrig",BJ10/(Massenstromrechnung!$R20*Konstanten!$K$3/3.6)+Massenstromrechnung!$X$3)</f>
        <v>11.99346607005101</v>
      </c>
      <c r="BL10" s="103" t="str">
        <f>IF(BK10="RLT zu niedrig","RLT zu niedrig",IF(OR(Massenstromrechnung!$Y$6&lt;(BK10*50+Massenstromrechnung!$X$3)/51,(Massenstromrechnung!$Y$6-(BK10*51+Massenstromrechnung!$X$3)/51)&lt;0.7),"trocken","feucht"))</f>
        <v>feucht</v>
      </c>
      <c r="BM10" s="104">
        <f>IF(BK10="RLT zu niedrig","RLT zu niedrig",(Massenstromrechnung!$X$4-(Massenstromrechnung!$X$3+BK10)/2)^Konstanten!$E$6*$AK10*$AL10^Konstanten!$F$6*(BK10-Massenstromrechnung!$X$3)^Konstanten!$G$6*((Massenstromrechnung!$X$3+BK10)/2)^Konstanten!$H$6*(Konstanten!$C$6-(BK10-Massenstromrechnung!$X$3)^Konstanten!$I$6*Konstanten!$D$6))</f>
        <v>352.42700896727712</v>
      </c>
      <c r="BN10" s="104">
        <f>IF(BK10="RLT zu niedrig","RLT zu niedrig",IF(BL10="trocken",BM10,IF(Konstanten!$A$18*(Massenstromrechnung!$Y$6^Konstanten!$B$18*(Massenstromrechnung!$X$4-(Iteration!BK10+Massenstromrechnung!$X$3)/2)^Konstanten!$C$18*BM10^Konstanten!$D$18*((Massenstromrechnung!$X$3+Iteration!BK10)/2)^Konstanten!$E$18+(Iteration!BK10-Massenstromrechnung!$X$3)^Konstanten!$F$18)&lt;1,BM10,BM10*Konstanten!$A$18*(Massenstromrechnung!$Y$6^Konstanten!$B$18*(Massenstromrechnung!$X$4-(Iteration!BK10+Massenstromrechnung!$X$3)/2)^Konstanten!$C$18*BM10^Konstanten!$D$18*((Massenstromrechnung!$X$3+Iteration!BK10)/2)^Konstanten!$E$18+(Iteration!BK10-Massenstromrechnung!$X$3)^Konstanten!$F$18))))</f>
        <v>493.00846264872138</v>
      </c>
      <c r="BO10" s="101"/>
      <c r="BP10">
        <f t="shared" si="10"/>
        <v>710</v>
      </c>
      <c r="BQ10">
        <f t="shared" si="10"/>
        <v>495</v>
      </c>
      <c r="BR10" s="103">
        <f>Massenstromrechnung!$X$3+2</f>
        <v>9</v>
      </c>
      <c r="BS10" s="103" t="str">
        <f>IF(OR(Massenstromrechnung!$Y$6&lt;(BR10*50+Massenstromrechnung!$X$3)/51,(Massenstromrechnung!$Y$6-(BR10*51+Massenstromrechnung!$X$3)/51)&lt;0.7),"trocken","feucht")</f>
        <v>feucht</v>
      </c>
      <c r="BT10" s="104">
        <f>(Massenstromrechnung!$X$4-(Massenstromrechnung!$X$3+BR10)/2)^Konstanten!$E$7*$AK10*$AL10^Konstanten!$F$7*(BR10-Massenstromrechnung!$X$3)^Konstanten!$G$7*((Massenstromrechnung!$X$3+BR10)/2)^Konstanten!$H$7*(Konstanten!$C$7-(BR10-Massenstromrechnung!$X$3)^Konstanten!$I$7*Konstanten!$D$7)</f>
        <v>438.96212216701139</v>
      </c>
      <c r="BU10" s="104">
        <f>IF(BS10="trocken",BT10,IF(Konstanten!$A$18*(Massenstromrechnung!$Y$6^Konstanten!$B$18*(Massenstromrechnung!$X$4-(Iteration!BR10+Massenstromrechnung!$X$3)/2)^Konstanten!$C$18*BT10^Konstanten!$D$18*((Massenstromrechnung!$X$3+Iteration!BR10)/2)^Konstanten!$E$18+(Iteration!BR10-Massenstromrechnung!$X$3)^Konstanten!$F$18)&lt;1,BT10,BT10*Konstanten!$A$18*(Massenstromrechnung!$Y$6^Konstanten!$B$18*(Massenstromrechnung!$X$4-(Iteration!BR10+Massenstromrechnung!$X$3)/2)^Konstanten!$C$18*BT10^Konstanten!$D$18*((Massenstromrechnung!$X$3+Iteration!BR10)/2)^Konstanten!$E$18+(Iteration!BR10-Massenstromrechnung!$X$3)^Konstanten!$F$18)))</f>
        <v>673.01786583132309</v>
      </c>
      <c r="BV10" s="101">
        <f>BU10/(Massenstromrechnung!$AA20*Konstanten!$K$3/3.6)+Massenstromrechnung!$X$3</f>
        <v>13.888880344036899</v>
      </c>
      <c r="BW10" s="103" t="str">
        <f>IF(OR(Massenstromrechnung!$Y$6&lt;(BV10*50+Massenstromrechnung!$X$3)/51,(Massenstromrechnung!$Y$6-(BV10*51+Massenstromrechnung!$X$3)/51)&lt;0.7),"trocken","feucht")</f>
        <v>feucht</v>
      </c>
      <c r="BX10" s="104">
        <f>(Massenstromrechnung!$X$4-(Massenstromrechnung!$X$3+BV10)/2)^Konstanten!$E$7*$AK10*$AL10^Konstanten!$F$7*(BV10-Massenstromrechnung!$X$3)^Konstanten!$G$7*((Massenstromrechnung!$X$3+BV10)/2)^Konstanten!$H$7*(Konstanten!$C$7-(BV10-Massenstromrechnung!$X$3)^Konstanten!$I$7*Konstanten!$D$7)</f>
        <v>313.88539066050419</v>
      </c>
      <c r="BY10" s="104">
        <f>IF(BW10="trocken",BX10,IF(Konstanten!$A$18*(Massenstromrechnung!$Y$6^Konstanten!$B$18*(Massenstromrechnung!$X$4-(Iteration!BV10+Massenstromrechnung!$X$3)/2)^Konstanten!$C$18*BX10^Konstanten!$D$18*((Massenstromrechnung!$X$3+Iteration!BV10)/2)^Konstanten!$E$18+(Iteration!BV10-Massenstromrechnung!$X$3)^Konstanten!$F$18)&lt;1,BX10,BX10*Konstanten!$A$18*(Massenstromrechnung!$Y$6^Konstanten!$B$18*(Massenstromrechnung!$X$4-(Iteration!BV10+Massenstromrechnung!$X$3)/2)^Konstanten!$C$18*BX10^Konstanten!$D$18*((Massenstromrechnung!$X$3+Iteration!BV10)/2)^Konstanten!$E$18+(Iteration!BV10-Massenstromrechnung!$X$3)^Konstanten!$F$18)))</f>
        <v>422.14285497995741</v>
      </c>
      <c r="BZ10" s="101">
        <f>BY10/(Massenstromrechnung!$AA20*Konstanten!$K$3/3.6)+Massenstromrechnung!$X$3</f>
        <v>11.32097238972241</v>
      </c>
      <c r="CA10" s="103" t="str">
        <f>IF(OR(Massenstromrechnung!$Y$6&lt;(BZ10*50+Massenstromrechnung!$X$3)/51,(Massenstromrechnung!$Y$6-(BZ10*51+Massenstromrechnung!$X$3)/51)&lt;0.7),"trocken","feucht")</f>
        <v>feucht</v>
      </c>
      <c r="CB10" s="104">
        <f>(Massenstromrechnung!$X$4-(Massenstromrechnung!$X$3+BZ10)/2)^Konstanten!$E$7*$AK10*$AL10^Konstanten!$F$7*(BZ10-Massenstromrechnung!$X$3)^Konstanten!$G$7*((Massenstromrechnung!$X$3+BZ10)/2)^Konstanten!$H$7*(Konstanten!$C$7-(BZ10-Massenstromrechnung!$X$3)^Konstanten!$I$7*Konstanten!$D$7)</f>
        <v>364.31327831469429</v>
      </c>
      <c r="CC10" s="104">
        <f>IF(CA10="trocken",CB10,IF(Konstanten!$A$18*(Massenstromrechnung!$Y$6^Konstanten!$B$18*(Massenstromrechnung!$X$4-(Iteration!BZ10+Massenstromrechnung!$X$3)/2)^Konstanten!$C$18*CB10^Konstanten!$D$18*((Massenstromrechnung!$X$3+Iteration!BZ10)/2)^Konstanten!$E$18+(Iteration!BZ10-Massenstromrechnung!$X$3)^Konstanten!$F$18)&lt;1,CB10,CB10*Konstanten!$A$18*(Massenstromrechnung!$Y$6^Konstanten!$B$18*(Massenstromrechnung!$X$4-(Iteration!BZ10+Massenstromrechnung!$X$3)/2)^Konstanten!$C$18*CB10^Konstanten!$D$18*((Massenstromrechnung!$X$3+Iteration!BZ10)/2)^Konstanten!$E$18+(Iteration!BZ10-Massenstromrechnung!$X$3)^Konstanten!$F$18)))</f>
        <v>518.22872541375511</v>
      </c>
      <c r="CD10" s="101">
        <f>CC10/(Massenstromrechnung!$AA20*Konstanten!$K$3/3.6)+Massenstromrechnung!$X$3</f>
        <v>12.304488723799878</v>
      </c>
      <c r="CE10" s="103" t="str">
        <f>IF(OR(Massenstromrechnung!$Y$6&lt;(CD10*50+Massenstromrechnung!$X$3)/51,(Massenstromrechnung!$Y$6-(CD10*51+Massenstromrechnung!$X$3)/51)&lt;0.7),"trocken","feucht")</f>
        <v>feucht</v>
      </c>
      <c r="CF10" s="104">
        <f>(Massenstromrechnung!$X$4-(Massenstromrechnung!$X$3+CD10)/2)^Konstanten!$E$7*$AK10*$AL10^Konstanten!$F$7*(CD10-Massenstromrechnung!$X$3)^Konstanten!$G$7*((Massenstromrechnung!$X$3+CD10)/2)^Konstanten!$H$7*(Konstanten!$C$7-(CD10-Massenstromrechnung!$X$3)^Konstanten!$I$7*Konstanten!$D$7)</f>
        <v>342.8670103780737</v>
      </c>
      <c r="CG10" s="104">
        <f>IF(CE10="trocken",CF10,IF(Konstanten!$A$18*(Massenstromrechnung!$Y$6^Konstanten!$B$18*(Massenstromrechnung!$X$4-(Iteration!CD10+Massenstromrechnung!$X$3)/2)^Konstanten!$C$18*CF10^Konstanten!$D$18*((Massenstromrechnung!$X$3+Iteration!CD10)/2)^Konstanten!$E$18+(Iteration!CD10-Massenstromrechnung!$X$3)^Konstanten!$F$18)&lt;1,CF10,CF10*Konstanten!$A$18*(Massenstromrechnung!$Y$6^Konstanten!$B$18*(Massenstromrechnung!$X$4-(Iteration!CD10+Massenstromrechnung!$X$3)/2)^Konstanten!$C$18*CF10^Konstanten!$D$18*((Massenstromrechnung!$X$3+Iteration!CD10)/2)^Konstanten!$E$18+(Iteration!CD10-Massenstromrechnung!$X$3)^Konstanten!$F$18)))</f>
        <v>476.35450313763027</v>
      </c>
      <c r="CH10" s="101">
        <f>CG10/(Massenstromrechnung!$AA20*Konstanten!$K$3/3.6)+Massenstromrechnung!$X$3</f>
        <v>11.875872306012054</v>
      </c>
      <c r="CI10" s="103" t="str">
        <f>IF(OR(Massenstromrechnung!$Y$6&lt;(CH10*50+Massenstromrechnung!$X$3)/51,(Massenstromrechnung!$Y$6-(CH10*51+Massenstromrechnung!$X$3)/51)&lt;0.7),"trocken","feucht")</f>
        <v>feucht</v>
      </c>
      <c r="CJ10" s="104">
        <f>(Massenstromrechnung!$X$4-(Massenstromrechnung!$X$3+CH10)/2)^Konstanten!$E$7*$AK10*$AL10^Konstanten!$F$7*(CH10-Massenstromrechnung!$X$3)^Konstanten!$G$7*((Massenstromrechnung!$X$3+CH10)/2)^Konstanten!$H$7*(Konstanten!$C$7-(CH10-Massenstromrechnung!$X$3)^Konstanten!$I$7*Konstanten!$D$7)</f>
        <v>351.79697671930285</v>
      </c>
      <c r="CK10" s="104">
        <f>IF(CI10="trocken",CJ10,IF(Konstanten!$A$18*(Massenstromrechnung!$Y$6^Konstanten!$B$18*(Massenstromrechnung!$X$4-(Iteration!CH10+Massenstromrechnung!$X$3)/2)^Konstanten!$C$18*CJ10^Konstanten!$D$18*((Massenstromrechnung!$X$3+Iteration!CH10)/2)^Konstanten!$E$18+(Iteration!CH10-Massenstromrechnung!$X$3)^Konstanten!$F$18)&lt;1,CJ10,CJ10*Konstanten!$A$18*(Massenstromrechnung!$Y$6^Konstanten!$B$18*(Massenstromrechnung!$X$4-(Iteration!CH10+Massenstromrechnung!$X$3)/2)^Konstanten!$C$18*CJ10^Konstanten!$D$18*((Massenstromrechnung!$X$3+Iteration!CH10)/2)^Konstanten!$E$18+(Iteration!CH10-Massenstromrechnung!$X$3)^Konstanten!$F$18)))</f>
        <v>493.62401589077592</v>
      </c>
      <c r="CL10" s="101">
        <f>CK10/(Massenstromrechnung!$AA20*Konstanten!$K$3/3.6)+Massenstromrechnung!$X$3</f>
        <v>12.052639689162113</v>
      </c>
      <c r="CM10" s="103" t="str">
        <f>IF(OR(Massenstromrechnung!$Y$6&lt;(CL10*50+Massenstromrechnung!$X$3)/51,(Massenstromrechnung!$Y$6-(CL10*51+Massenstromrechnung!$X$3)/51)&lt;0.7),"trocken","feucht")</f>
        <v>feucht</v>
      </c>
      <c r="CN10" s="104">
        <f>(Massenstromrechnung!$X$4-(Massenstromrechnung!$X$3+CL10)/2)^Konstanten!$E$7*$AK10*$AL10^Konstanten!$F$7*(CL10-Massenstromrechnung!$X$3)^Konstanten!$G$7*((Massenstromrechnung!$X$3+CL10)/2)^Konstanten!$H$7*(Konstanten!$C$7-(CL10-Massenstromrechnung!$X$3)^Konstanten!$I$7*Konstanten!$D$7)</f>
        <v>348.0441280749202</v>
      </c>
      <c r="CO10" s="104">
        <f>IF(CM10="trocken",CN10,IF(Konstanten!$A$18*(Massenstromrechnung!$Y$6^Konstanten!$B$18*(Massenstromrechnung!$X$4-(Iteration!CL10+Massenstromrechnung!$X$3)/2)^Konstanten!$C$18*CN10^Konstanten!$D$18*((Massenstromrechnung!$X$3+Iteration!CL10)/2)^Konstanten!$E$18+(Iteration!CL10-Massenstromrechnung!$X$3)^Konstanten!$F$18)&lt;1,CN10,CN10*Konstanten!$A$18*(Massenstromrechnung!$Y$6^Konstanten!$B$18*(Massenstromrechnung!$X$4-(Iteration!CL10+Massenstromrechnung!$X$3)/2)^Konstanten!$C$18*CN10^Konstanten!$D$18*((Massenstromrechnung!$X$3+Iteration!CL10)/2)^Konstanten!$E$18+(Iteration!CL10-Massenstromrechnung!$X$3)^Konstanten!$F$18)))</f>
        <v>486.33638192207866</v>
      </c>
      <c r="CP10" s="101">
        <f>IF(CO10/(Massenstromrechnung!$AA20*Konstanten!$K$3/3.6)+Massenstromrechnung!$X$3-Massenstromrechnung!$X$3&lt;1.4,"RLT zu niedrig",CO10/(Massenstromrechnung!$AA20*Konstanten!$K$3/3.6)+Massenstromrechnung!$X$3)</f>
        <v>11.978044881282113</v>
      </c>
      <c r="CQ10" s="103" t="str">
        <f>IF(CP10="RLT zu niedrig","RLT zu niedrig",IF(OR(Massenstromrechnung!$Y$6&lt;(CP10*50+Massenstromrechnung!$X$3)/51,(Massenstromrechnung!$Y$6-(CP10*51+Massenstromrechnung!$X$3)/51)&lt;0.7),"trocken","feucht"))</f>
        <v>feucht</v>
      </c>
      <c r="CR10" s="104">
        <f>IF(CP10="RLT zu niedrig","RLT zu niedrig",(Massenstromrechnung!$X$4-(Massenstromrechnung!$X$3+CP10)/2)^Konstanten!$E$7*$AK10*$AL10^Konstanten!$F$7*(CP10-Massenstromrechnung!$X$3)^Konstanten!$G$7*((Massenstromrechnung!$X$3+CP10)/2)^Konstanten!$H$7*(Konstanten!$C$7-(CP10-Massenstromrechnung!$X$3)^Konstanten!$I$7*Konstanten!$D$7))</f>
        <v>349.61528091945388</v>
      </c>
      <c r="CS10" s="104">
        <f>IF(CP10="RLT zu niedrig","RLT zu niedrig",IF(CQ10="trocken",CR10,IF(Konstanten!$A$18*(Massenstromrechnung!$Y$6^Konstanten!$B$18*(Massenstromrechnung!$X$4-(Iteration!CP10+Massenstromrechnung!$X$3)/2)^Konstanten!$C$18*CR10^Konstanten!$D$18*((Massenstromrechnung!$X$3+Iteration!CP10)/2)^Konstanten!$E$18+(Iteration!CP10-Massenstromrechnung!$X$3)^Konstanten!$F$18)&lt;1,CR10,CR10*Konstanten!$A$18*(Massenstromrechnung!$Y$6^Konstanten!$B$18*(Massenstromrechnung!$X$4-(Iteration!CP10+Massenstromrechnung!$X$3)/2)^Konstanten!$C$18*CR10^Konstanten!$D$18*((Massenstromrechnung!$X$3+Iteration!CP10)/2)^Konstanten!$E$18+(Iteration!CP10-Massenstromrechnung!$X$3)^Konstanten!$F$18))))</f>
        <v>489.38217449494817</v>
      </c>
    </row>
    <row r="11" spans="1:97" x14ac:dyDescent="0.3">
      <c r="A11">
        <f>Massenstromrechnung!B21</f>
        <v>710</v>
      </c>
      <c r="B11" s="78">
        <v>315</v>
      </c>
      <c r="C11" s="103">
        <f>IF(Massenstromrechnung!$K$3-10&lt;=Massenstromrechnung!$K$4,Massenstromrechnung!$K$3-0.75*(Massenstromrechnung!$K$3-Massenstromrechnung!$K$4),Massenstromrechnung!$K$3-10)</f>
        <v>65</v>
      </c>
      <c r="D11" s="103">
        <f>-1*((Massenstromrechnung!$K$3+C11)/2-Massenstromrechnung!$K$4)^Konstanten!$E$4*Massenstromrechnung!$B21*Massenstromrechnung!$C21^Konstanten!$F$4*(Massenstromrechnung!$K$3-C11)^Konstanten!$G$4*((Massenstromrechnung!$K$3+C11)/2)^Konstanten!$H$4*(Konstanten!$C$4-((Massenstromrechnung!$K$3-C11)^Konstanten!$I$4*Konstanten!$D$4))/(Massenstromrechnung!$F21*Konstanten!$K$3/3.6)+Massenstromrechnung!$K$3</f>
        <v>65</v>
      </c>
      <c r="E11" s="103">
        <f t="shared" si="6"/>
        <v>65</v>
      </c>
      <c r="F11" s="103">
        <f>-1*((Massenstromrechnung!$K$3+E11)/2-Massenstromrechnung!$K$4)^Konstanten!$E$4*Massenstromrechnung!$B21*Massenstromrechnung!$C21^Konstanten!$F$4*(Massenstromrechnung!$K$3-E11)^Konstanten!$G$4*((Massenstromrechnung!$K$3+E11)/2)^Konstanten!$H$4*(Konstanten!$C$4-((Massenstromrechnung!$K$3-E11)^Konstanten!$I$4*Konstanten!$D$4))/(Massenstromrechnung!$F21*Konstanten!$K$3/3.6)+Massenstromrechnung!$K$3</f>
        <v>65</v>
      </c>
      <c r="G11" s="103">
        <f t="shared" si="0"/>
        <v>65</v>
      </c>
      <c r="H11" s="103">
        <f>-1*((Massenstromrechnung!$K$3+G11)/2-Massenstromrechnung!$K$4)^Konstanten!$E$4*Massenstromrechnung!$B21*Massenstromrechnung!$C21^Konstanten!$F$4*(Massenstromrechnung!$K$3-G11)^Konstanten!$G$4*((Massenstromrechnung!$K$3+G11)/2)^Konstanten!$H$4*(Konstanten!$C$4-((Massenstromrechnung!$K$3-G11)^Konstanten!$I$4*Konstanten!$D$4))/(Massenstromrechnung!$F21*Konstanten!$K$3/3.6)+Massenstromrechnung!$K$3</f>
        <v>65</v>
      </c>
      <c r="I11" s="103">
        <f t="shared" si="1"/>
        <v>65</v>
      </c>
      <c r="J11" s="103">
        <f>-1*((Massenstromrechnung!$K$3+I11)/2-Massenstromrechnung!$K$4)^Konstanten!$E$4*Massenstromrechnung!$B21*Massenstromrechnung!$C21^Konstanten!$F$4*(Massenstromrechnung!$K$3-I11)^Konstanten!$G$4*((Massenstromrechnung!$K$3+I11)/2)^Konstanten!$H$4*(Konstanten!$C$4-((Massenstromrechnung!$K$3-I11)^Konstanten!$I$4*Konstanten!$D$4))/(Massenstromrechnung!$F21*Konstanten!$K$3/3.6)+Massenstromrechnung!$K$3</f>
        <v>65</v>
      </c>
      <c r="K11" s="103">
        <f t="shared" si="2"/>
        <v>65</v>
      </c>
      <c r="L11" s="103">
        <f>-1*((Massenstromrechnung!$K$3+K11)/2-Massenstromrechnung!$K$4)^Konstanten!$E$4*Massenstromrechnung!$B21*Massenstromrechnung!$C21^Konstanten!$F$4*(Massenstromrechnung!$K$3-K11)^Konstanten!$G$4*((Massenstromrechnung!$K$3+K11)/2)^Konstanten!$H$4*(Konstanten!$C$4-((Massenstromrechnung!$K$3-K11)^Konstanten!$I$4*Konstanten!$D$4))/(Massenstromrechnung!$F21*Konstanten!$K$3/3.6)+Massenstromrechnung!$K$3</f>
        <v>65</v>
      </c>
      <c r="N11">
        <f>'Katalogdaten M3G045'!B25</f>
        <v>710</v>
      </c>
      <c r="O11" s="78">
        <v>315</v>
      </c>
      <c r="P11" s="103">
        <f>IF(Massenstromrechnung!$K$3-10&lt;=Massenstromrechnung!$K$4,Massenstromrechnung!$K$3-0.75*(Massenstromrechnung!$K$3-Massenstromrechnung!$K$4),Massenstromrechnung!$K$3-10)</f>
        <v>65</v>
      </c>
      <c r="Q11" s="103" t="e">
        <f>-1*((Massenstromrechnung!$K$3+P11)/2-Massenstromrechnung!$K$4)^Konstanten!$E$4*Massenstromrechnung!$B21*Massenstromrechnung!$C21^Konstanten!$F$4*(Massenstromrechnung!$K$3-P11)^Konstanten!$G$4*((Massenstromrechnung!$K$3+P11)/2)^Konstanten!$H$4*(Konstanten!$C$4-((Massenstromrechnung!$K$3-P11)^Konstanten!$I$4*Konstanten!$D$4))/(Massenstromrechnung!#REF!*Konstanten!$K$3/3.6)+Massenstromrechnung!$K$3</f>
        <v>#REF!</v>
      </c>
      <c r="R11" s="103" t="e">
        <f t="shared" si="7"/>
        <v>#REF!</v>
      </c>
      <c r="S11" s="103" t="e">
        <f>-1*((Massenstromrechnung!$K$3+R11)/2-Massenstromrechnung!$K$4)^Konstanten!$E$4*Massenstromrechnung!$B21*Massenstromrechnung!$C21^Konstanten!$F$4*(Massenstromrechnung!$K$3-R11)^Konstanten!$G$4*((Massenstromrechnung!$K$3+R11)/2)^Konstanten!$H$4*(Konstanten!$C$4-((Massenstromrechnung!$K$3-R11)^Konstanten!$I$4*Konstanten!$D$4))/(Massenstromrechnung!#REF!*Konstanten!$K$3/3.6)+Massenstromrechnung!$K$3</f>
        <v>#REF!</v>
      </c>
      <c r="T11" s="103" t="e">
        <f t="shared" si="3"/>
        <v>#REF!</v>
      </c>
      <c r="U11" s="103" t="e">
        <f>-1*((Massenstromrechnung!$K$3+T11)/2-Massenstromrechnung!$K$4)^Konstanten!$E$4*Massenstromrechnung!$B21*Massenstromrechnung!$C21^Konstanten!$F$4*(Massenstromrechnung!$K$3-T11)^Konstanten!$G$4*((Massenstromrechnung!$K$3+T11)/2)^Konstanten!$H$4*(Konstanten!$C$4-((Massenstromrechnung!$K$3-T11)^Konstanten!$I$4*Konstanten!$D$4))/(Massenstromrechnung!#REF!*Konstanten!$K$3/3.6)+Massenstromrechnung!$K$3</f>
        <v>#REF!</v>
      </c>
      <c r="V11" s="103" t="e">
        <f t="shared" si="4"/>
        <v>#REF!</v>
      </c>
      <c r="W11" s="103" t="e">
        <f>-1*((Massenstromrechnung!$K$3+V11)/2-Massenstromrechnung!$K$4)^Konstanten!$E$4*Massenstromrechnung!$B21*Massenstromrechnung!$C21^Konstanten!$F$4*(Massenstromrechnung!$K$3-V11)^Konstanten!$G$4*((Massenstromrechnung!$K$3+V11)/2)^Konstanten!$H$4*(Konstanten!$C$4-((Massenstromrechnung!$K$3-V11)^Konstanten!$I$4*Konstanten!$D$4))/(Massenstromrechnung!#REF!*Konstanten!$K$3/3.6)+Massenstromrechnung!$K$3</f>
        <v>#REF!</v>
      </c>
      <c r="X11" s="103" t="e">
        <f t="shared" si="5"/>
        <v>#REF!</v>
      </c>
      <c r="Y11" s="103" t="e">
        <f>-1*((Massenstromrechnung!$K$3+X11)/2-Massenstromrechnung!$K$4)^Konstanten!$E$4*Massenstromrechnung!$B21*Massenstromrechnung!$C21^Konstanten!$F$4*(Massenstromrechnung!$K$3-X11)^Konstanten!$G$4*((Massenstromrechnung!$K$3+X11)/2)^Konstanten!$H$4*(Konstanten!$C$4-((Massenstromrechnung!$K$3-X11)^Konstanten!$I$4*Konstanten!$D$4))/(Massenstromrechnung!#REF!*Konstanten!$K$3/3.6)+Massenstromrechnung!$K$3</f>
        <v>#REF!</v>
      </c>
      <c r="AA11">
        <f t="shared" si="8"/>
        <v>710</v>
      </c>
      <c r="AB11">
        <f t="shared" si="8"/>
        <v>315</v>
      </c>
      <c r="AC11" s="103">
        <f>IF(Massenstromrechnung!$K$3-10&lt;=Massenstromrechnung!$K$4,Massenstromrechnung!$K$3-0.75*(Massenstromrechnung!$K$3-Massenstromrechnung!$K$4),Massenstromrechnung!$K$3-10)</f>
        <v>65</v>
      </c>
      <c r="AD11" s="103">
        <f>-1*((Massenstromrechnung!$K$3+AC11)/2-Massenstromrechnung!$K$4)^Konstanten!$E$5*$AA11*$AB11^Konstanten!$F$5*(Massenstromrechnung!$K$3-AC11)^Konstanten!$G$5*((Massenstromrechnung!$K$3+AC11)/2)^Konstanten!$H$5*(Konstanten!$C$5-((Massenstromrechnung!$K$3-AC11)^Konstanten!$I$5*Konstanten!$D$5))/(Massenstromrechnung!$L21*Konstanten!$K$3/3.6)+Massenstromrechnung!$K$3</f>
        <v>65</v>
      </c>
      <c r="AE11" s="103">
        <f>-1*((Massenstromrechnung!$K$3+AD11)/2-Massenstromrechnung!$K$4)^Konstanten!$E$5*$AA11*$AB11^Konstanten!$F$5*(Massenstromrechnung!$K$3-AD11)^Konstanten!$G$5*((Massenstromrechnung!$K$3+AD11)/2)^Konstanten!$H$5*(Konstanten!$C$5-((Massenstromrechnung!$K$3-AD11)^Konstanten!$I$5*Konstanten!$D$5))/(Massenstromrechnung!$L21*Konstanten!$K$3/3.6)+Massenstromrechnung!$K$3</f>
        <v>65</v>
      </c>
      <c r="AF11" s="103">
        <f>-1*((Massenstromrechnung!$K$3+AE11)/2-Massenstromrechnung!$K$4)^Konstanten!$E$5*$AA11*$AB11^Konstanten!$F$5*(Massenstromrechnung!$K$3-AE11)^Konstanten!$G$5*((Massenstromrechnung!$K$3+AE11)/2)^Konstanten!$H$5*(Konstanten!$C$5-((Massenstromrechnung!$K$3-AE11)^Konstanten!$I$5*Konstanten!$D$5))/(Massenstromrechnung!$L21*Konstanten!$K$3/3.6)+Massenstromrechnung!$K$3</f>
        <v>65</v>
      </c>
      <c r="AG11" s="103">
        <f>-1*((Massenstromrechnung!$K$3+AF11)/2-Massenstromrechnung!$K$4)^Konstanten!$E$5*$AA11*$AB11^Konstanten!$F$5*(Massenstromrechnung!$K$3-AF11)^Konstanten!$G$5*((Massenstromrechnung!$K$3+AF11)/2)^Konstanten!$H$5*(Konstanten!$C$5-((Massenstromrechnung!$K$3-AF11)^Konstanten!$I$5*Konstanten!$D$5))/(Massenstromrechnung!$L21*Konstanten!$K$3/3.6)+Massenstromrechnung!$K$3</f>
        <v>65</v>
      </c>
      <c r="AH11" s="103">
        <f>-1*((Massenstromrechnung!$K$3+AG11)/2-Massenstromrechnung!$K$4)^Konstanten!$E$5*$AA11*$AB11^Konstanten!$F$5*(Massenstromrechnung!$K$3-AG11)^Konstanten!$G$5*((Massenstromrechnung!$K$3+AG11)/2)^Konstanten!$H$5*(Konstanten!$C$5-((Massenstromrechnung!$K$3-AG11)^Konstanten!$I$5*Konstanten!$D$5))/(Massenstromrechnung!$L21*Konstanten!$K$3/3.6)+Massenstromrechnung!$K$3</f>
        <v>65</v>
      </c>
      <c r="AI11" s="103">
        <f>-1*((Massenstromrechnung!$K$3+AH11)/2-Massenstromrechnung!$K$4)^Konstanten!$E$5*$AA11*$AB11^Konstanten!$F$5*(Massenstromrechnung!$K$3-AH11)^Konstanten!$G$5*((Massenstromrechnung!$K$3+AH11)/2)^Konstanten!$H$5*(Konstanten!$C$5-((Massenstromrechnung!$K$3-AH11)^Konstanten!$I$5*Konstanten!$D$5))/(Massenstromrechnung!$L21*Konstanten!$K$3/3.6)+Massenstromrechnung!$K$3</f>
        <v>65</v>
      </c>
      <c r="AK11">
        <f t="shared" si="9"/>
        <v>710</v>
      </c>
      <c r="AL11">
        <f t="shared" si="9"/>
        <v>315</v>
      </c>
      <c r="AM11" s="103">
        <f>Massenstromrechnung!$X$3+2</f>
        <v>9</v>
      </c>
      <c r="AN11" s="103" t="str">
        <f>IF(OR(Massenstromrechnung!$Y$6&lt;(AM11*50+Massenstromrechnung!$X$3)/51,(Massenstromrechnung!$Y$6-(AM11*51+Massenstromrechnung!$X$3)/51)&lt;0.7),"trocken","feucht")</f>
        <v>feucht</v>
      </c>
      <c r="AO11" s="104">
        <f>(Massenstromrechnung!$X$4-(Massenstromrechnung!$X$3+AM11)/2)^Konstanten!$E$6*$AK11*$AL11^Konstanten!$F$6*(AM11-Massenstromrechnung!$X$3)^Konstanten!$G$6*((Massenstromrechnung!$X$3+AM11)/2)^Konstanten!$H$6*(Konstanten!$C$6-(AM11-Massenstromrechnung!$X$3)^Konstanten!$I$6*Konstanten!$D$6)</f>
        <v>205.63700481389927</v>
      </c>
      <c r="AP11" s="104">
        <f>IF(AN11="trocken",AO11,IF(Konstanten!$A$18*(Massenstromrechnung!$Y$6^Konstanten!$B$18*(Massenstromrechnung!$X$4-(Iteration!AM11+Massenstromrechnung!$X$3)/2)^Konstanten!$C$18*AO11^Konstanten!$D$18*((Massenstromrechnung!$X$3+Iteration!AM11)/2)^Konstanten!$E$18+(Iteration!AM11-Massenstromrechnung!$X$3)^Konstanten!$F$18)&lt;1,AO11,AO11*Konstanten!$A$18*(Massenstromrechnung!$Y$6^Konstanten!$B$18*(Massenstromrechnung!$X$4-(Iteration!AM11+Massenstromrechnung!$X$3)/2)^Konstanten!$C$18*AO11^Konstanten!$D$18*((Massenstromrechnung!$X$3+Iteration!AM11)/2)^Konstanten!$E$18+(Iteration!AM11-Massenstromrechnung!$X$3)^Konstanten!$F$18)))</f>
        <v>322.29956491881541</v>
      </c>
      <c r="AQ11" s="101">
        <f>AP11/(Massenstromrechnung!$R21*Konstanten!$K$3/3.6)+Massenstromrechnung!$X$3</f>
        <v>13.208396834238812</v>
      </c>
      <c r="AR11" s="103" t="str">
        <f>IF(OR(Massenstromrechnung!$Y$6&lt;(AQ11*50+Massenstromrechnung!$X$3)/51,(Massenstromrechnung!$Y$6-(AQ11*51+Massenstromrechnung!$X$3)/51)&lt;0.7),"trocken","feucht")</f>
        <v>feucht</v>
      </c>
      <c r="AS11" s="104">
        <f>(Massenstromrechnung!$X$4-(Massenstromrechnung!$X$3+AQ11)/2)^Konstanten!$E$6*$AK11*$AL11^Konstanten!$F$6*(AQ11-Massenstromrechnung!$X$3)^Konstanten!$G$6*((Massenstromrechnung!$X$3+AQ11)/2)^Konstanten!$H$6*(Konstanten!$C$6-(AQ11-Massenstromrechnung!$X$3)^Konstanten!$I$6*Konstanten!$D$6)</f>
        <v>171.8826556361949</v>
      </c>
      <c r="AT11" s="104">
        <f>IF(AR11="trocken",AS11,IF(Konstanten!$A$18*(Massenstromrechnung!$Y$6^Konstanten!$B$18*(Massenstromrechnung!$X$4-(Iteration!AQ11+Massenstromrechnung!$X$3)/2)^Konstanten!$C$18*AS11^Konstanten!$D$18*((Massenstromrechnung!$X$3+Iteration!AQ11)/2)^Konstanten!$E$18+(Iteration!AQ11-Massenstromrechnung!$X$3)^Konstanten!$F$18)&lt;1,AS11,AS11*Konstanten!$A$18*(Massenstromrechnung!$Y$6^Konstanten!$B$18*(Massenstromrechnung!$X$4-(Iteration!AQ11+Massenstromrechnung!$X$3)/2)^Konstanten!$C$18*AS11^Konstanten!$D$18*((Massenstromrechnung!$X$3+Iteration!AQ11)/2)^Konstanten!$E$18+(Iteration!AQ11-Massenstromrechnung!$X$3)^Konstanten!$F$18)))</f>
        <v>238.7742453010101</v>
      </c>
      <c r="AU11" s="101">
        <f>AT11/(Massenstromrechnung!$R21*Konstanten!$K$3/3.6)+Massenstromrechnung!$X$3</f>
        <v>11.59946407001188</v>
      </c>
      <c r="AV11" s="103" t="str">
        <f>IF(OR(Massenstromrechnung!$Y$6&lt;(AU11*50+Massenstromrechnung!$X$3)/51,(Massenstromrechnung!$Y$6-(AU11*51+Massenstromrechnung!$X$3)/51)&lt;0.7),"trocken","feucht")</f>
        <v>feucht</v>
      </c>
      <c r="AW11" s="104">
        <f>(Massenstromrechnung!$X$4-(Massenstromrechnung!$X$3+AU11)/2)^Konstanten!$E$6*$AK11*$AL11^Konstanten!$F$6*(AU11-Massenstromrechnung!$X$3)^Konstanten!$G$6*((Massenstromrechnung!$X$3+AU11)/2)^Konstanten!$H$6*(Konstanten!$C$6-(AU11-Massenstromrechnung!$X$3)^Konstanten!$I$6*Konstanten!$D$6)</f>
        <v>185.44224046573461</v>
      </c>
      <c r="AX11" s="104">
        <f>IF(AV11="trocken",AW11,IF(Konstanten!$A$18*(Massenstromrechnung!$Y$6^Konstanten!$B$18*(Massenstromrechnung!$X$4-(Iteration!AU11+Massenstromrechnung!$X$3)/2)^Konstanten!$C$18*AW11^Konstanten!$D$18*((Massenstromrechnung!$X$3+Iteration!AU11)/2)^Konstanten!$E$18+(Iteration!AU11-Massenstromrechnung!$X$3)^Konstanten!$F$18)&lt;1,AW11,AW11*Konstanten!$A$18*(Massenstromrechnung!$Y$6^Konstanten!$B$18*(Massenstromrechnung!$X$4-(Iteration!AU11+Massenstromrechnung!$X$3)/2)^Konstanten!$C$18*AW11^Konstanten!$D$18*((Massenstromrechnung!$X$3+Iteration!AU11)/2)^Konstanten!$E$18+(Iteration!AU11-Massenstromrechnung!$X$3)^Konstanten!$F$18)))</f>
        <v>267.12644242732046</v>
      </c>
      <c r="AY11" s="101">
        <f>AX11/(Massenstromrechnung!$R21*Konstanten!$K$3/3.6)+Massenstromrechnung!$X$3</f>
        <v>12.145607192876591</v>
      </c>
      <c r="AZ11" s="103" t="str">
        <f>IF(OR(Massenstromrechnung!$Y$6&lt;(AY11*50+Massenstromrechnung!$X$3)/51,(Massenstromrechnung!$Y$6-(AY11*51+Massenstromrechnung!$X$3)/51)&lt;0.7),"trocken","feucht")</f>
        <v>feucht</v>
      </c>
      <c r="BA11" s="104">
        <f>(Massenstromrechnung!$X$4-(Massenstromrechnung!$X$3+AY11)/2)^Konstanten!$E$6*$AK11*$AL11^Konstanten!$F$6*(AY11-Massenstromrechnung!$X$3)^Konstanten!$G$6*((Massenstromrechnung!$X$3+AY11)/2)^Konstanten!$H$6*(Konstanten!$C$6-(AY11-Massenstromrechnung!$X$3)^Konstanten!$I$6*Konstanten!$D$6)</f>
        <v>180.70859791691734</v>
      </c>
      <c r="BB11" s="104">
        <f>IF(AZ11="trocken",BA11,IF(Konstanten!$A$18*(Massenstromrechnung!$Y$6^Konstanten!$B$18*(Massenstromrechnung!$X$4-(Iteration!AY11+Massenstromrechnung!$X$3)/2)^Konstanten!$C$18*BA11^Konstanten!$D$18*((Massenstromrechnung!$X$3+Iteration!AY11)/2)^Konstanten!$E$18+(Iteration!AY11-Massenstromrechnung!$X$3)^Konstanten!$F$18)&lt;1,BA11,BA11*Konstanten!$A$18*(Massenstromrechnung!$Y$6^Konstanten!$B$18*(Massenstromrechnung!$X$4-(Iteration!AY11+Massenstromrechnung!$X$3)/2)^Konstanten!$C$18*BA11^Konstanten!$D$18*((Massenstromrechnung!$X$3+Iteration!AY11)/2)^Konstanten!$E$18+(Iteration!AY11-Massenstromrechnung!$X$3)^Konstanten!$F$18)))</f>
        <v>256.9057102749411</v>
      </c>
      <c r="BC11" s="101">
        <f>BB11/(Massenstromrechnung!$R21*Konstanten!$K$3/3.6)+Massenstromrechnung!$X$3</f>
        <v>11.94872712214358</v>
      </c>
      <c r="BD11" s="103" t="str">
        <f>IF(OR(Massenstromrechnung!$Y$6&lt;(BC11*50+Massenstromrechnung!$X$3)/51,(Massenstromrechnung!$Y$6-(BC11*51+Massenstromrechnung!$X$3)/51)&lt;0.7),"trocken","feucht")</f>
        <v>feucht</v>
      </c>
      <c r="BE11" s="104">
        <f>(Massenstromrechnung!$X$4-(Massenstromrechnung!$X$3+BC11)/2)^Konstanten!$E$6*$AK11*$AL11^Konstanten!$F$6*(BC11-Massenstromrechnung!$X$3)^Konstanten!$G$6*((Massenstromrechnung!$X$3+BC11)/2)^Konstanten!$H$6*(Konstanten!$C$6-(BC11-Massenstromrechnung!$X$3)^Konstanten!$I$6*Konstanten!$D$6)</f>
        <v>182.40117640784698</v>
      </c>
      <c r="BF11" s="104">
        <f>IF(BD11="trocken",BE11,IF(Konstanten!$A$18*(Massenstromrechnung!$Y$6^Konstanten!$B$18*(Massenstromrechnung!$X$4-(Iteration!BC11+Massenstromrechnung!$X$3)/2)^Konstanten!$C$18*BE11^Konstanten!$D$18*((Massenstromrechnung!$X$3+Iteration!BC11)/2)^Konstanten!$E$18+(Iteration!BC11-Massenstromrechnung!$X$3)^Konstanten!$F$18)&lt;1,BE11,BE11*Konstanten!$A$18*(Massenstromrechnung!$Y$6^Konstanten!$B$18*(Massenstromrechnung!$X$4-(Iteration!BC11+Massenstromrechnung!$X$3)/2)^Konstanten!$C$18*BE11^Konstanten!$D$18*((Massenstromrechnung!$X$3+Iteration!BC11)/2)^Konstanten!$E$18+(Iteration!BC11-Massenstromrechnung!$X$3)^Konstanten!$F$18)))</f>
        <v>260.515552877191</v>
      </c>
      <c r="BG11" s="101">
        <f>BF11/(Massenstromrechnung!$R21*Konstanten!$K$3/3.6)+Massenstromrechnung!$X$3</f>
        <v>12.018262851704847</v>
      </c>
      <c r="BH11" s="103" t="str">
        <f>IF(OR(Massenstromrechnung!$Y$6&lt;(BG11*50+Massenstromrechnung!$X$3)/51,(Massenstromrechnung!$Y$6-(BG11*51+Massenstromrechnung!$X$3)/51)&lt;0.7),"trocken","feucht")</f>
        <v>feucht</v>
      </c>
      <c r="BI11" s="104">
        <f>(Massenstromrechnung!$X$4-(Massenstromrechnung!$X$3+BG11)/2)^Konstanten!$E$6*$AK11*$AL11^Konstanten!$F$6*(BG11-Massenstromrechnung!$X$3)^Konstanten!$G$6*((Massenstromrechnung!$X$3+BG11)/2)^Konstanten!$H$6*(Konstanten!$C$6-(BG11-Massenstromrechnung!$X$3)^Konstanten!$I$6*Konstanten!$D$6)</f>
        <v>181.80147709499943</v>
      </c>
      <c r="BJ11" s="104">
        <f>IF(BH11="trocken",BI11,IF(Konstanten!$A$18*(Massenstromrechnung!$Y$6^Konstanten!$B$18*(Massenstromrechnung!$X$4-(Iteration!BG11+Massenstromrechnung!$X$3)/2)^Konstanten!$C$18*BI11^Konstanten!$D$18*((Massenstromrechnung!$X$3+Iteration!BG11)/2)^Konstanten!$E$18+(Iteration!BG11-Massenstromrechnung!$X$3)^Konstanten!$F$18)&lt;1,BI11,BI11*Konstanten!$A$18*(Massenstromrechnung!$Y$6^Konstanten!$B$18*(Massenstromrechnung!$X$4-(Iteration!BG11+Massenstromrechnung!$X$3)/2)^Konstanten!$C$18*BI11^Konstanten!$D$18*((Massenstromrechnung!$X$3+Iteration!BG11)/2)^Konstanten!$E$18+(Iteration!BG11-Massenstromrechnung!$X$3)^Konstanten!$F$18)))</f>
        <v>259.23113115052257</v>
      </c>
      <c r="BK11" s="101">
        <f>IF(BJ11/(Massenstromrechnung!$R21*Konstanten!$K$3/3.6)+Massenstromrechnung!$X$3-Massenstromrechnung!$X$3&lt;1.4,"RLT zu niedrig",BJ11/(Massenstromrechnung!$R21*Konstanten!$K$3/3.6)+Massenstromrechnung!$X$3)</f>
        <v>11.993521273838665</v>
      </c>
      <c r="BL11" s="103" t="str">
        <f>IF(BK11="RLT zu niedrig","RLT zu niedrig",IF(OR(Massenstromrechnung!$Y$6&lt;(BK11*50+Massenstromrechnung!$X$3)/51,(Massenstromrechnung!$Y$6-(BK11*51+Massenstromrechnung!$X$3)/51)&lt;0.7),"trocken","feucht"))</f>
        <v>feucht</v>
      </c>
      <c r="BM11" s="104">
        <f>IF(BK11="RLT zu niedrig","RLT zu niedrig",(Massenstromrechnung!$X$4-(Massenstromrechnung!$X$3+BK11)/2)^Konstanten!$E$6*$AK11*$AL11^Konstanten!$F$6*(BK11-Massenstromrechnung!$X$3)^Konstanten!$G$6*((Massenstromrechnung!$X$3+BK11)/2)^Konstanten!$H$6*(Konstanten!$C$6-(BK11-Massenstromrechnung!$X$3)^Konstanten!$I$6*Konstanten!$D$6))</f>
        <v>182.01462320297765</v>
      </c>
      <c r="BN11" s="104">
        <f>IF(BK11="RLT zu niedrig","RLT zu niedrig",IF(BL11="trocken",BM11,IF(Konstanten!$A$18*(Massenstromrechnung!$Y$6^Konstanten!$B$18*(Massenstromrechnung!$X$4-(Iteration!BK11+Massenstromrechnung!$X$3)/2)^Konstanten!$C$18*BM11^Konstanten!$D$18*((Massenstromrechnung!$X$3+Iteration!BK11)/2)^Konstanten!$E$18+(Iteration!BK11-Massenstromrechnung!$X$3)^Konstanten!$F$18)&lt;1,BM11,BM11*Konstanten!$A$18*(Massenstromrechnung!$Y$6^Konstanten!$B$18*(Massenstromrechnung!$X$4-(Iteration!BK11+Massenstromrechnung!$X$3)/2)^Konstanten!$C$18*BM11^Konstanten!$D$18*((Massenstromrechnung!$X$3+Iteration!BK11)/2)^Konstanten!$E$18+(Iteration!BK11-Massenstromrechnung!$X$3)^Konstanten!$F$18))))</f>
        <v>259.6869503994659</v>
      </c>
      <c r="BO11" s="101"/>
      <c r="BP11">
        <f t="shared" si="10"/>
        <v>710</v>
      </c>
      <c r="BQ11">
        <f t="shared" si="10"/>
        <v>315</v>
      </c>
      <c r="BR11" s="103">
        <f>Massenstromrechnung!$X$3+2</f>
        <v>9</v>
      </c>
      <c r="BS11" s="103" t="str">
        <f>IF(OR(Massenstromrechnung!$Y$6&lt;(BR11*50+Massenstromrechnung!$X$3)/51,(Massenstromrechnung!$Y$6-(BR11*51+Massenstromrechnung!$X$3)/51)&lt;0.7),"trocken","feucht")</f>
        <v>feucht</v>
      </c>
      <c r="BT11" s="104">
        <f>(Massenstromrechnung!$X$4-(Massenstromrechnung!$X$3+BR11)/2)^Konstanten!$E$7*$AK11*$AL11^Konstanten!$F$7*(BR11-Massenstromrechnung!$X$3)^Konstanten!$G$7*((Massenstromrechnung!$X$3+BR11)/2)^Konstanten!$H$7*(Konstanten!$C$7-(BR11-Massenstromrechnung!$X$3)^Konstanten!$I$7*Konstanten!$D$7)</f>
        <v>229.11279740326023</v>
      </c>
      <c r="BU11" s="104">
        <f>IF(BS11="trocken",BT11,IF(Konstanten!$A$18*(Massenstromrechnung!$Y$6^Konstanten!$B$18*(Massenstromrechnung!$X$4-(Iteration!BR11+Massenstromrechnung!$X$3)/2)^Konstanten!$C$18*BT11^Konstanten!$D$18*((Massenstromrechnung!$X$3+Iteration!BR11)/2)^Konstanten!$E$18+(Iteration!BR11-Massenstromrechnung!$X$3)^Konstanten!$F$18)&lt;1,BT11,BT11*Konstanten!$A$18*(Massenstromrechnung!$Y$6^Konstanten!$B$18*(Massenstromrechnung!$X$4-(Iteration!BR11+Massenstromrechnung!$X$3)/2)^Konstanten!$C$18*BT11^Konstanten!$D$18*((Massenstromrechnung!$X$3+Iteration!BR11)/2)^Konstanten!$E$18+(Iteration!BR11-Massenstromrechnung!$X$3)^Konstanten!$F$18)))</f>
        <v>357.9680052967712</v>
      </c>
      <c r="BV11" s="101">
        <f>BU11/(Massenstromrechnung!$AA21*Konstanten!$K$3/3.6)+Massenstromrechnung!$X$3</f>
        <v>13.885273346602201</v>
      </c>
      <c r="BW11" s="103" t="str">
        <f>IF(OR(Massenstromrechnung!$Y$6&lt;(BV11*50+Massenstromrechnung!$X$3)/51,(Massenstromrechnung!$Y$6-(BV11*51+Massenstromrechnung!$X$3)/51)&lt;0.7),"trocken","feucht")</f>
        <v>feucht</v>
      </c>
      <c r="BX11" s="104">
        <f>(Massenstromrechnung!$X$4-(Massenstromrechnung!$X$3+BV11)/2)^Konstanten!$E$7*$AK11*$AL11^Konstanten!$F$7*(BV11-Massenstromrechnung!$X$3)^Konstanten!$G$7*((Massenstromrechnung!$X$3+BV11)/2)^Konstanten!$H$7*(Konstanten!$C$7-(BV11-Massenstromrechnung!$X$3)^Konstanten!$I$7*Konstanten!$D$7)</f>
        <v>163.86145926390793</v>
      </c>
      <c r="BY11" s="104">
        <f>IF(BW11="trocken",BX11,IF(Konstanten!$A$18*(Massenstromrechnung!$Y$6^Konstanten!$B$18*(Massenstromrechnung!$X$4-(Iteration!BV11+Massenstromrechnung!$X$3)/2)^Konstanten!$C$18*BX11^Konstanten!$D$18*((Massenstromrechnung!$X$3+Iteration!BV11)/2)^Konstanten!$E$18+(Iteration!BV11-Massenstromrechnung!$X$3)^Konstanten!$F$18)&lt;1,BX11,BX11*Konstanten!$A$18*(Massenstromrechnung!$Y$6^Konstanten!$B$18*(Massenstromrechnung!$X$4-(Iteration!BV11+Massenstromrechnung!$X$3)/2)^Konstanten!$C$18*BX11^Konstanten!$D$18*((Massenstromrechnung!$X$3+Iteration!BV11)/2)^Konstanten!$E$18+(Iteration!BV11-Massenstromrechnung!$X$3)^Konstanten!$F$18)))</f>
        <v>224.7350626022473</v>
      </c>
      <c r="BZ11" s="101">
        <f>BY11/(Massenstromrechnung!$AA21*Konstanten!$K$3/3.6)+Massenstromrechnung!$X$3</f>
        <v>11.322627479792221</v>
      </c>
      <c r="CA11" s="103" t="str">
        <f>IF(OR(Massenstromrechnung!$Y$6&lt;(BZ11*50+Massenstromrechnung!$X$3)/51,(Massenstromrechnung!$Y$6-(BZ11*51+Massenstromrechnung!$X$3)/51)&lt;0.7),"trocken","feucht")</f>
        <v>feucht</v>
      </c>
      <c r="CB11" s="104">
        <f>(Massenstromrechnung!$X$4-(Massenstromrechnung!$X$3+BZ11)/2)^Konstanten!$E$7*$AK11*$AL11^Konstanten!$F$7*(BZ11-Massenstromrechnung!$X$3)^Konstanten!$G$7*((Massenstromrechnung!$X$3+BZ11)/2)^Konstanten!$H$7*(Konstanten!$C$7-(BZ11-Massenstromrechnung!$X$3)^Konstanten!$I$7*Konstanten!$D$7)</f>
        <v>190.12997495614914</v>
      </c>
      <c r="CC11" s="104">
        <f>IF(CA11="trocken",CB11,IF(Konstanten!$A$18*(Massenstromrechnung!$Y$6^Konstanten!$B$18*(Massenstromrechnung!$X$4-(Iteration!BZ11+Massenstromrechnung!$X$3)/2)^Konstanten!$C$18*CB11^Konstanten!$D$18*((Massenstromrechnung!$X$3+Iteration!BZ11)/2)^Konstanten!$E$18+(Iteration!BZ11-Massenstromrechnung!$X$3)^Konstanten!$F$18)&lt;1,CB11,CB11*Konstanten!$A$18*(Massenstromrechnung!$Y$6^Konstanten!$B$18*(Massenstromrechnung!$X$4-(Iteration!BZ11+Massenstromrechnung!$X$3)/2)^Konstanten!$C$18*CB11^Konstanten!$D$18*((Massenstromrechnung!$X$3+Iteration!BZ11)/2)^Konstanten!$E$18+(Iteration!BZ11-Massenstromrechnung!$X$3)^Konstanten!$F$18)))</f>
        <v>275.72322415623705</v>
      </c>
      <c r="CD11" s="101">
        <f>CC11/(Massenstromrechnung!$AA21*Konstanten!$K$3/3.6)+Massenstromrechnung!$X$3</f>
        <v>12.303350406269637</v>
      </c>
      <c r="CE11" s="103" t="str">
        <f>IF(OR(Massenstromrechnung!$Y$6&lt;(CD11*50+Massenstromrechnung!$X$3)/51,(Massenstromrechnung!$Y$6-(CD11*51+Massenstromrechnung!$X$3)/51)&lt;0.7),"trocken","feucht")</f>
        <v>feucht</v>
      </c>
      <c r="CF11" s="104">
        <f>(Massenstromrechnung!$X$4-(Massenstromrechnung!$X$3+CD11)/2)^Konstanten!$E$7*$AK11*$AL11^Konstanten!$F$7*(CD11-Massenstromrechnung!$X$3)^Konstanten!$G$7*((Massenstromrechnung!$X$3+CD11)/2)^Konstanten!$H$7*(Konstanten!$C$7-(CD11-Massenstromrechnung!$X$3)^Konstanten!$I$7*Konstanten!$D$7)</f>
        <v>178.96870841522809</v>
      </c>
      <c r="CG11" s="104">
        <f>IF(CE11="trocken",CF11,IF(Konstanten!$A$18*(Massenstromrechnung!$Y$6^Konstanten!$B$18*(Massenstromrechnung!$X$4-(Iteration!CD11+Massenstromrechnung!$X$3)/2)^Konstanten!$C$18*CF11^Konstanten!$D$18*((Massenstromrechnung!$X$3+Iteration!CD11)/2)^Konstanten!$E$18+(Iteration!CD11-Massenstromrechnung!$X$3)^Konstanten!$F$18)&lt;1,CF11,CF11*Konstanten!$A$18*(Massenstromrechnung!$Y$6^Konstanten!$B$18*(Massenstromrechnung!$X$4-(Iteration!CD11+Massenstromrechnung!$X$3)/2)^Konstanten!$C$18*CF11^Konstanten!$D$18*((Massenstromrechnung!$X$3+Iteration!CD11)/2)^Konstanten!$E$18+(Iteration!CD11-Massenstromrechnung!$X$3)^Konstanten!$F$18)))</f>
        <v>253.52817080507288</v>
      </c>
      <c r="CH11" s="101">
        <f>CG11/(Massenstromrechnung!$AA21*Konstanten!$K$3/3.6)+Massenstromrechnung!$X$3</f>
        <v>11.876443512346279</v>
      </c>
      <c r="CI11" s="103" t="str">
        <f>IF(OR(Massenstromrechnung!$Y$6&lt;(CH11*50+Massenstromrechnung!$X$3)/51,(Massenstromrechnung!$Y$6-(CH11*51+Massenstromrechnung!$X$3)/51)&lt;0.7),"trocken","feucht")</f>
        <v>feucht</v>
      </c>
      <c r="CJ11" s="104">
        <f>(Massenstromrechnung!$X$4-(Massenstromrechnung!$X$3+CH11)/2)^Konstanten!$E$7*$AK11*$AL11^Konstanten!$F$7*(CH11-Massenstromrechnung!$X$3)^Konstanten!$G$7*((Massenstromrechnung!$X$3+CH11)/2)^Konstanten!$H$7*(Konstanten!$C$7-(CH11-Massenstromrechnung!$X$3)^Konstanten!$I$7*Konstanten!$D$7)</f>
        <v>183.61122405586124</v>
      </c>
      <c r="CK11" s="104">
        <f>IF(CI11="trocken",CJ11,IF(Konstanten!$A$18*(Massenstromrechnung!$Y$6^Konstanten!$B$18*(Massenstromrechnung!$X$4-(Iteration!CH11+Massenstromrechnung!$X$3)/2)^Konstanten!$C$18*CJ11^Konstanten!$D$18*((Massenstromrechnung!$X$3+Iteration!CH11)/2)^Konstanten!$E$18+(Iteration!CH11-Massenstromrechnung!$X$3)^Konstanten!$F$18)&lt;1,CJ11,CJ11*Konstanten!$A$18*(Massenstromrechnung!$Y$6^Konstanten!$B$18*(Massenstromrechnung!$X$4-(Iteration!CH11+Massenstromrechnung!$X$3)/2)^Konstanten!$C$18*CJ11^Konstanten!$D$18*((Massenstromrechnung!$X$3+Iteration!CH11)/2)^Konstanten!$E$18+(Iteration!CH11-Massenstromrechnung!$X$3)^Konstanten!$F$18)))</f>
        <v>262.67312471166815</v>
      </c>
      <c r="CL11" s="101">
        <f>CK11/(Massenstromrechnung!$AA21*Konstanten!$K$3/3.6)+Massenstromrechnung!$X$3</f>
        <v>12.05234053793879</v>
      </c>
      <c r="CM11" s="103" t="str">
        <f>IF(OR(Massenstromrechnung!$Y$6&lt;(CL11*50+Massenstromrechnung!$X$3)/51,(Massenstromrechnung!$Y$6-(CL11*51+Massenstromrechnung!$X$3)/51)&lt;0.7),"trocken","feucht")</f>
        <v>feucht</v>
      </c>
      <c r="CN11" s="104">
        <f>(Massenstromrechnung!$X$4-(Massenstromrechnung!$X$3+CL11)/2)^Konstanten!$E$7*$AK11*$AL11^Konstanten!$F$7*(CL11-Massenstromrechnung!$X$3)^Konstanten!$G$7*((Massenstromrechnung!$X$3+CL11)/2)^Konstanten!$H$7*(Konstanten!$C$7-(CL11-Massenstromrechnung!$X$3)^Konstanten!$I$7*Konstanten!$D$7)</f>
        <v>181.66214172018795</v>
      </c>
      <c r="CO11" s="104">
        <f>IF(CM11="trocken",CN11,IF(Konstanten!$A$18*(Massenstromrechnung!$Y$6^Konstanten!$B$18*(Massenstromrechnung!$X$4-(Iteration!CL11+Massenstromrechnung!$X$3)/2)^Konstanten!$C$18*CN11^Konstanten!$D$18*((Massenstromrechnung!$X$3+Iteration!CL11)/2)^Konstanten!$E$18+(Iteration!CL11-Massenstromrechnung!$X$3)^Konstanten!$F$18)&lt;1,CN11,CN11*Konstanten!$A$18*(Massenstromrechnung!$Y$6^Konstanten!$B$18*(Massenstromrechnung!$X$4-(Iteration!CL11+Massenstromrechnung!$X$3)/2)^Konstanten!$C$18*CN11^Konstanten!$D$18*((Massenstromrechnung!$X$3+Iteration!CL11)/2)^Konstanten!$E$18+(Iteration!CL11-Massenstromrechnung!$X$3)^Konstanten!$F$18)))</f>
        <v>258.81806031715945</v>
      </c>
      <c r="CP11" s="101">
        <f>IF(CO11/(Massenstromrechnung!$AA21*Konstanten!$K$3/3.6)+Massenstromrechnung!$X$3-Massenstromrechnung!$X$3&lt;1.4,"RLT zu niedrig",CO11/(Massenstromrechnung!$AA21*Konstanten!$K$3/3.6)+Massenstromrechnung!$X$3)</f>
        <v>11.97819097224523</v>
      </c>
      <c r="CQ11" s="103" t="str">
        <f>IF(CP11="RLT zu niedrig","RLT zu niedrig",IF(OR(Massenstromrechnung!$Y$6&lt;(CP11*50+Massenstromrechnung!$X$3)/51,(Massenstromrechnung!$Y$6-(CP11*51+Massenstromrechnung!$X$3)/51)&lt;0.7),"trocken","feucht"))</f>
        <v>feucht</v>
      </c>
      <c r="CR11" s="104">
        <f>IF(CP11="RLT zu niedrig","RLT zu niedrig",(Massenstromrechnung!$X$4-(Massenstromrechnung!$X$3+CP11)/2)^Konstanten!$E$7*$AK11*$AL11^Konstanten!$F$7*(CP11-Massenstromrechnung!$X$3)^Konstanten!$G$7*((Massenstromrechnung!$X$3+CP11)/2)^Konstanten!$H$7*(Konstanten!$C$7-(CP11-Massenstromrechnung!$X$3)^Konstanten!$I$7*Konstanten!$D$7))</f>
        <v>182.4773071629819</v>
      </c>
      <c r="CS11" s="104">
        <f>IF(CP11="RLT zu niedrig","RLT zu niedrig",IF(CQ11="trocken",CR11,IF(Konstanten!$A$18*(Massenstromrechnung!$Y$6^Konstanten!$B$18*(Massenstromrechnung!$X$4-(Iteration!CP11+Massenstromrechnung!$X$3)/2)^Konstanten!$C$18*CR11^Konstanten!$D$18*((Massenstromrechnung!$X$3+Iteration!CP11)/2)^Konstanten!$E$18+(Iteration!CP11-Massenstromrechnung!$X$3)^Konstanten!$F$18)&lt;1,CR11,CR11*Konstanten!$A$18*(Massenstromrechnung!$Y$6^Konstanten!$B$18*(Massenstromrechnung!$X$4-(Iteration!CP11+Massenstromrechnung!$X$3)/2)^Konstanten!$C$18*CR11^Konstanten!$D$18*((Massenstromrechnung!$X$3+Iteration!CP11)/2)^Konstanten!$E$18+(Iteration!CP11-Massenstromrechnung!$X$3)^Konstanten!$F$18))))</f>
        <v>260.42764438766147</v>
      </c>
    </row>
    <row r="12" spans="1:97" x14ac:dyDescent="0.3">
      <c r="A12">
        <f>Massenstromrechnung!B22</f>
        <v>1130</v>
      </c>
      <c r="B12" s="53">
        <v>1205</v>
      </c>
      <c r="C12" s="103">
        <f>IF(Massenstromrechnung!$K$3-10&lt;=Massenstromrechnung!$K$4,Massenstromrechnung!$K$3-0.75*(Massenstromrechnung!$K$3-Massenstromrechnung!$K$4),Massenstromrechnung!$K$3-10)</f>
        <v>65</v>
      </c>
      <c r="D12" s="103">
        <f>-1*((Massenstromrechnung!$K$3+C12)/2-Massenstromrechnung!$K$4)^Konstanten!$E$4*Massenstromrechnung!$B22*Massenstromrechnung!$C22^Konstanten!$F$4*(Massenstromrechnung!$K$3-C12)^Konstanten!$G$4*((Massenstromrechnung!$K$3+C12)/2)^Konstanten!$H$4*(Konstanten!$C$4-((Massenstromrechnung!$K$3-C12)^Konstanten!$I$4*Konstanten!$D$4))/(Massenstromrechnung!$F22*Konstanten!$K$3/3.6)+Massenstromrechnung!$K$3</f>
        <v>65</v>
      </c>
      <c r="E12" s="103">
        <f t="shared" si="6"/>
        <v>65</v>
      </c>
      <c r="F12" s="103">
        <f>-1*((Massenstromrechnung!$K$3+E12)/2-Massenstromrechnung!$K$4)^Konstanten!$E$4*Massenstromrechnung!$B22*Massenstromrechnung!$C22^Konstanten!$F$4*(Massenstromrechnung!$K$3-E12)^Konstanten!$G$4*((Massenstromrechnung!$K$3+E12)/2)^Konstanten!$H$4*(Konstanten!$C$4-((Massenstromrechnung!$K$3-E12)^Konstanten!$I$4*Konstanten!$D$4))/(Massenstromrechnung!$F22*Konstanten!$K$3/3.6)+Massenstromrechnung!$K$3</f>
        <v>65</v>
      </c>
      <c r="G12" s="103">
        <f t="shared" si="0"/>
        <v>65</v>
      </c>
      <c r="H12" s="103">
        <f>-1*((Massenstromrechnung!$K$3+G12)/2-Massenstromrechnung!$K$4)^Konstanten!$E$4*Massenstromrechnung!$B22*Massenstromrechnung!$C22^Konstanten!$F$4*(Massenstromrechnung!$K$3-G12)^Konstanten!$G$4*((Massenstromrechnung!$K$3+G12)/2)^Konstanten!$H$4*(Konstanten!$C$4-((Massenstromrechnung!$K$3-G12)^Konstanten!$I$4*Konstanten!$D$4))/(Massenstromrechnung!$F22*Konstanten!$K$3/3.6)+Massenstromrechnung!$K$3</f>
        <v>65</v>
      </c>
      <c r="I12" s="103">
        <f t="shared" si="1"/>
        <v>65</v>
      </c>
      <c r="J12" s="103">
        <f>-1*((Massenstromrechnung!$K$3+I12)/2-Massenstromrechnung!$K$4)^Konstanten!$E$4*Massenstromrechnung!$B22*Massenstromrechnung!$C22^Konstanten!$F$4*(Massenstromrechnung!$K$3-I12)^Konstanten!$G$4*((Massenstromrechnung!$K$3+I12)/2)^Konstanten!$H$4*(Konstanten!$C$4-((Massenstromrechnung!$K$3-I12)^Konstanten!$I$4*Konstanten!$D$4))/(Massenstromrechnung!$F22*Konstanten!$K$3/3.6)+Massenstromrechnung!$K$3</f>
        <v>65</v>
      </c>
      <c r="K12" s="103">
        <f t="shared" si="2"/>
        <v>65</v>
      </c>
      <c r="L12" s="103">
        <f>-1*((Massenstromrechnung!$K$3+K12)/2-Massenstromrechnung!$K$4)^Konstanten!$E$4*Massenstromrechnung!$B22*Massenstromrechnung!$C22^Konstanten!$F$4*(Massenstromrechnung!$K$3-K12)^Konstanten!$G$4*((Massenstromrechnung!$K$3+K12)/2)^Konstanten!$H$4*(Konstanten!$C$4-((Massenstromrechnung!$K$3-K12)^Konstanten!$I$4*Konstanten!$D$4))/(Massenstromrechnung!$F22*Konstanten!$K$3/3.6)+Massenstromrechnung!$K$3</f>
        <v>65</v>
      </c>
      <c r="N12">
        <f>'Katalogdaten M3G045'!B26</f>
        <v>1130</v>
      </c>
      <c r="O12" s="53">
        <v>1205</v>
      </c>
      <c r="P12" s="103">
        <f>IF(Massenstromrechnung!$K$3-10&lt;=Massenstromrechnung!$K$4,Massenstromrechnung!$K$3-0.75*(Massenstromrechnung!$K$3-Massenstromrechnung!$K$4),Massenstromrechnung!$K$3-10)</f>
        <v>65</v>
      </c>
      <c r="Q12" s="103" t="e">
        <f>-1*((Massenstromrechnung!$K$3+P12)/2-Massenstromrechnung!$K$4)^Konstanten!$E$4*Massenstromrechnung!$B22*Massenstromrechnung!$C22^Konstanten!$F$4*(Massenstromrechnung!$K$3-P12)^Konstanten!$G$4*((Massenstromrechnung!$K$3+P12)/2)^Konstanten!$H$4*(Konstanten!$C$4-((Massenstromrechnung!$K$3-P12)^Konstanten!$I$4*Konstanten!$D$4))/(Massenstromrechnung!#REF!*Konstanten!$K$3/3.6)+Massenstromrechnung!$K$3</f>
        <v>#REF!</v>
      </c>
      <c r="R12" s="103" t="e">
        <f t="shared" si="7"/>
        <v>#REF!</v>
      </c>
      <c r="S12" s="103" t="e">
        <f>-1*((Massenstromrechnung!$K$3+R12)/2-Massenstromrechnung!$K$4)^Konstanten!$E$4*Massenstromrechnung!$B22*Massenstromrechnung!$C22^Konstanten!$F$4*(Massenstromrechnung!$K$3-R12)^Konstanten!$G$4*((Massenstromrechnung!$K$3+R12)/2)^Konstanten!$H$4*(Konstanten!$C$4-((Massenstromrechnung!$K$3-R12)^Konstanten!$I$4*Konstanten!$D$4))/(Massenstromrechnung!#REF!*Konstanten!$K$3/3.6)+Massenstromrechnung!$K$3</f>
        <v>#REF!</v>
      </c>
      <c r="T12" s="103" t="e">
        <f t="shared" si="3"/>
        <v>#REF!</v>
      </c>
      <c r="U12" s="103" t="e">
        <f>-1*((Massenstromrechnung!$K$3+T12)/2-Massenstromrechnung!$K$4)^Konstanten!$E$4*Massenstromrechnung!$B22*Massenstromrechnung!$C22^Konstanten!$F$4*(Massenstromrechnung!$K$3-T12)^Konstanten!$G$4*((Massenstromrechnung!$K$3+T12)/2)^Konstanten!$H$4*(Konstanten!$C$4-((Massenstromrechnung!$K$3-T12)^Konstanten!$I$4*Konstanten!$D$4))/(Massenstromrechnung!#REF!*Konstanten!$K$3/3.6)+Massenstromrechnung!$K$3</f>
        <v>#REF!</v>
      </c>
      <c r="V12" s="103" t="e">
        <f t="shared" si="4"/>
        <v>#REF!</v>
      </c>
      <c r="W12" s="103" t="e">
        <f>-1*((Massenstromrechnung!$K$3+V12)/2-Massenstromrechnung!$K$4)^Konstanten!$E$4*Massenstromrechnung!$B22*Massenstromrechnung!$C22^Konstanten!$F$4*(Massenstromrechnung!$K$3-V12)^Konstanten!$G$4*((Massenstromrechnung!$K$3+V12)/2)^Konstanten!$H$4*(Konstanten!$C$4-((Massenstromrechnung!$K$3-V12)^Konstanten!$I$4*Konstanten!$D$4))/(Massenstromrechnung!#REF!*Konstanten!$K$3/3.6)+Massenstromrechnung!$K$3</f>
        <v>#REF!</v>
      </c>
      <c r="X12" s="103" t="e">
        <f t="shared" si="5"/>
        <v>#REF!</v>
      </c>
      <c r="Y12" s="103" t="e">
        <f>-1*((Massenstromrechnung!$K$3+X12)/2-Massenstromrechnung!$K$4)^Konstanten!$E$4*Massenstromrechnung!$B22*Massenstromrechnung!$C22^Konstanten!$F$4*(Massenstromrechnung!$K$3-X12)^Konstanten!$G$4*((Massenstromrechnung!$K$3+X12)/2)^Konstanten!$H$4*(Konstanten!$C$4-((Massenstromrechnung!$K$3-X12)^Konstanten!$I$4*Konstanten!$D$4))/(Massenstromrechnung!#REF!*Konstanten!$K$3/3.6)+Massenstromrechnung!$K$3</f>
        <v>#REF!</v>
      </c>
      <c r="AA12">
        <f t="shared" si="8"/>
        <v>1130</v>
      </c>
      <c r="AB12">
        <f t="shared" si="8"/>
        <v>1205</v>
      </c>
      <c r="AC12" s="103">
        <f>IF(Massenstromrechnung!$K$3-10&lt;=Massenstromrechnung!$K$4,Massenstromrechnung!$K$3-0.75*(Massenstromrechnung!$K$3-Massenstromrechnung!$K$4),Massenstromrechnung!$K$3-10)</f>
        <v>65</v>
      </c>
      <c r="AD12" s="103">
        <f>-1*((Massenstromrechnung!$K$3+AC12)/2-Massenstromrechnung!$K$4)^Konstanten!$E$5*$AA12*$AB12^Konstanten!$F$5*(Massenstromrechnung!$K$3-AC12)^Konstanten!$G$5*((Massenstromrechnung!$K$3+AC12)/2)^Konstanten!$H$5*(Konstanten!$C$5-((Massenstromrechnung!$K$3-AC12)^Konstanten!$I$5*Konstanten!$D$5))/(Massenstromrechnung!$L22*Konstanten!$K$3/3.6)+Massenstromrechnung!$K$3</f>
        <v>65</v>
      </c>
      <c r="AE12" s="103">
        <f>-1*((Massenstromrechnung!$K$3+AD12)/2-Massenstromrechnung!$K$4)^Konstanten!$E$5*$AA12*$AB12^Konstanten!$F$5*(Massenstromrechnung!$K$3-AD12)^Konstanten!$G$5*((Massenstromrechnung!$K$3+AD12)/2)^Konstanten!$H$5*(Konstanten!$C$5-((Massenstromrechnung!$K$3-AD12)^Konstanten!$I$5*Konstanten!$D$5))/(Massenstromrechnung!$L22*Konstanten!$K$3/3.6)+Massenstromrechnung!$K$3</f>
        <v>65</v>
      </c>
      <c r="AF12" s="103">
        <f>-1*((Massenstromrechnung!$K$3+AE12)/2-Massenstromrechnung!$K$4)^Konstanten!$E$5*$AA12*$AB12^Konstanten!$F$5*(Massenstromrechnung!$K$3-AE12)^Konstanten!$G$5*((Massenstromrechnung!$K$3+AE12)/2)^Konstanten!$H$5*(Konstanten!$C$5-((Massenstromrechnung!$K$3-AE12)^Konstanten!$I$5*Konstanten!$D$5))/(Massenstromrechnung!$L22*Konstanten!$K$3/3.6)+Massenstromrechnung!$K$3</f>
        <v>65</v>
      </c>
      <c r="AG12" s="103">
        <f>-1*((Massenstromrechnung!$K$3+AF12)/2-Massenstromrechnung!$K$4)^Konstanten!$E$5*$AA12*$AB12^Konstanten!$F$5*(Massenstromrechnung!$K$3-AF12)^Konstanten!$G$5*((Massenstromrechnung!$K$3+AF12)/2)^Konstanten!$H$5*(Konstanten!$C$5-((Massenstromrechnung!$K$3-AF12)^Konstanten!$I$5*Konstanten!$D$5))/(Massenstromrechnung!$L22*Konstanten!$K$3/3.6)+Massenstromrechnung!$K$3</f>
        <v>65</v>
      </c>
      <c r="AH12" s="103">
        <f>-1*((Massenstromrechnung!$K$3+AG12)/2-Massenstromrechnung!$K$4)^Konstanten!$E$5*$AA12*$AB12^Konstanten!$F$5*(Massenstromrechnung!$K$3-AG12)^Konstanten!$G$5*((Massenstromrechnung!$K$3+AG12)/2)^Konstanten!$H$5*(Konstanten!$C$5-((Massenstromrechnung!$K$3-AG12)^Konstanten!$I$5*Konstanten!$D$5))/(Massenstromrechnung!$L22*Konstanten!$K$3/3.6)+Massenstromrechnung!$K$3</f>
        <v>65</v>
      </c>
      <c r="AI12" s="103">
        <f>-1*((Massenstromrechnung!$K$3+AH12)/2-Massenstromrechnung!$K$4)^Konstanten!$E$5*$AA12*$AB12^Konstanten!$F$5*(Massenstromrechnung!$K$3-AH12)^Konstanten!$G$5*((Massenstromrechnung!$K$3+AH12)/2)^Konstanten!$H$5*(Konstanten!$C$5-((Massenstromrechnung!$K$3-AH12)^Konstanten!$I$5*Konstanten!$D$5))/(Massenstromrechnung!$L22*Konstanten!$K$3/3.6)+Massenstromrechnung!$K$3</f>
        <v>65</v>
      </c>
      <c r="AK12">
        <f t="shared" si="9"/>
        <v>1130</v>
      </c>
      <c r="AL12">
        <f t="shared" si="9"/>
        <v>1205</v>
      </c>
      <c r="AM12" s="103">
        <f>Massenstromrechnung!$X$3+2</f>
        <v>9</v>
      </c>
      <c r="AN12" s="103" t="str">
        <f>IF(OR(Massenstromrechnung!$Y$6&lt;(AM12*50+Massenstromrechnung!$X$3)/51,(Massenstromrechnung!$Y$6-(AM12*51+Massenstromrechnung!$X$3)/51)&lt;0.7),"trocken","feucht")</f>
        <v>feucht</v>
      </c>
      <c r="AO12" s="104">
        <f>(Massenstromrechnung!$X$4-(Massenstromrechnung!$X$3+AM12)/2)^Konstanten!$E$6*$AK12*$AL12^Konstanten!$F$6*(AM12-Massenstromrechnung!$X$3)^Konstanten!$G$6*((Massenstromrechnung!$X$3+AM12)/2)^Konstanten!$H$6*(Konstanten!$C$6-(AM12-Massenstromrechnung!$X$3)^Konstanten!$I$6*Konstanten!$D$6)</f>
        <v>2326.6553251124537</v>
      </c>
      <c r="AP12" s="104">
        <f>IF(AN12="trocken",AO12,IF(Konstanten!$A$18*(Massenstromrechnung!$Y$6^Konstanten!$B$18*(Massenstromrechnung!$X$4-(Iteration!AM12+Massenstromrechnung!$X$3)/2)^Konstanten!$C$18*AO12^Konstanten!$D$18*((Massenstromrechnung!$X$3+Iteration!AM12)/2)^Konstanten!$E$18+(Iteration!AM12-Massenstromrechnung!$X$3)^Konstanten!$F$18)&lt;1,AO12,AO12*Konstanten!$A$18*(Massenstromrechnung!$Y$6^Konstanten!$B$18*(Massenstromrechnung!$X$4-(Iteration!AM12+Massenstromrechnung!$X$3)/2)^Konstanten!$C$18*AO12^Konstanten!$D$18*((Massenstromrechnung!$X$3+Iteration!AM12)/2)^Konstanten!$E$18+(Iteration!AM12-Massenstromrechnung!$X$3)^Konstanten!$F$18)))</f>
        <v>3399.0710933163741</v>
      </c>
      <c r="AQ12" s="101">
        <f>AP12/(Massenstromrechnung!$R22*Konstanten!$K$3/3.6)+Massenstromrechnung!$X$3</f>
        <v>13.220750185894603</v>
      </c>
      <c r="AR12" s="103" t="str">
        <f>IF(OR(Massenstromrechnung!$Y$6&lt;(AQ12*50+Massenstromrechnung!$X$3)/51,(Massenstromrechnung!$Y$6-(AQ12*51+Massenstromrechnung!$X$3)/51)&lt;0.7),"trocken","feucht")</f>
        <v>feucht</v>
      </c>
      <c r="AS12" s="104">
        <f>(Massenstromrechnung!$X$4-(Massenstromrechnung!$X$3+AQ12)/2)^Konstanten!$E$6*$AK12*$AL12^Konstanten!$F$6*(AQ12-Massenstromrechnung!$X$3)^Konstanten!$G$6*((Massenstromrechnung!$X$3+AQ12)/2)^Konstanten!$H$6*(Konstanten!$C$6-(AQ12-Massenstromrechnung!$X$3)^Konstanten!$I$6*Konstanten!$D$6)</f>
        <v>1943.6212276574963</v>
      </c>
      <c r="AT12" s="104">
        <f>IF(AR12="trocken",AS12,IF(Konstanten!$A$18*(Massenstromrechnung!$Y$6^Konstanten!$B$18*(Massenstromrechnung!$X$4-(Iteration!AQ12+Massenstromrechnung!$X$3)/2)^Konstanten!$C$18*AS12^Konstanten!$D$18*((Massenstromrechnung!$X$3+Iteration!AQ12)/2)^Konstanten!$E$18+(Iteration!AQ12-Massenstromrechnung!$X$3)^Konstanten!$F$18)&lt;1,AS12,AS12*Konstanten!$A$18*(Massenstromrechnung!$Y$6^Konstanten!$B$18*(Massenstromrechnung!$X$4-(Iteration!AQ12+Massenstromrechnung!$X$3)/2)^Konstanten!$C$18*AS12^Konstanten!$D$18*((Massenstromrechnung!$X$3+Iteration!AQ12)/2)^Konstanten!$E$18+(Iteration!AQ12-Massenstromrechnung!$X$3)^Konstanten!$F$18)))</f>
        <v>2510.2697148824213</v>
      </c>
      <c r="AU12" s="101">
        <f>AT12/(Massenstromrechnung!$R22*Konstanten!$K$3/3.6)+Massenstromrechnung!$X$3</f>
        <v>11.594125973477235</v>
      </c>
      <c r="AV12" s="103" t="str">
        <f>IF(OR(Massenstromrechnung!$Y$6&lt;(AU12*50+Massenstromrechnung!$X$3)/51,(Massenstromrechnung!$Y$6-(AU12*51+Massenstromrechnung!$X$3)/51)&lt;0.7),"trocken","feucht")</f>
        <v>feucht</v>
      </c>
      <c r="AW12" s="104">
        <f>(Massenstromrechnung!$X$4-(Massenstromrechnung!$X$3+AU12)/2)^Konstanten!$E$6*$AK12*$AL12^Konstanten!$F$6*(AU12-Massenstromrechnung!$X$3)^Konstanten!$G$6*((Massenstromrechnung!$X$3+AU12)/2)^Konstanten!$H$6*(Konstanten!$C$6-(AU12-Massenstromrechnung!$X$3)^Konstanten!$I$6*Konstanten!$D$6)</f>
        <v>2098.6938336122421</v>
      </c>
      <c r="AX12" s="104">
        <f>IF(AV12="trocken",AW12,IF(Konstanten!$A$18*(Massenstromrechnung!$Y$6^Konstanten!$B$18*(Massenstromrechnung!$X$4-(Iteration!AU12+Massenstromrechnung!$X$3)/2)^Konstanten!$C$18*AW12^Konstanten!$D$18*((Massenstromrechnung!$X$3+Iteration!AU12)/2)^Konstanten!$E$18+(Iteration!AU12-Massenstromrechnung!$X$3)^Konstanten!$F$18)&lt;1,AW12,AW12*Konstanten!$A$18*(Massenstromrechnung!$Y$6^Konstanten!$B$18*(Massenstromrechnung!$X$4-(Iteration!AU12+Massenstromrechnung!$X$3)/2)^Konstanten!$C$18*AW12^Konstanten!$D$18*((Massenstromrechnung!$X$3+Iteration!AU12)/2)^Konstanten!$E$18+(Iteration!AU12-Massenstromrechnung!$X$3)^Konstanten!$F$18)))</f>
        <v>2813.0848016071313</v>
      </c>
      <c r="AY12" s="101">
        <f>AX12/(Massenstromrechnung!$R22*Konstanten!$K$3/3.6)+Massenstromrechnung!$X$3</f>
        <v>12.148317679187198</v>
      </c>
      <c r="AZ12" s="103" t="str">
        <f>IF(OR(Massenstromrechnung!$Y$6&lt;(AY12*50+Massenstromrechnung!$X$3)/51,(Massenstromrechnung!$Y$6-(AY12*51+Massenstromrechnung!$X$3)/51)&lt;0.7),"trocken","feucht")</f>
        <v>feucht</v>
      </c>
      <c r="BA12" s="104">
        <f>(Massenstromrechnung!$X$4-(Massenstromrechnung!$X$3+AY12)/2)^Konstanten!$E$6*$AK12*$AL12^Konstanten!$F$6*(AY12-Massenstromrechnung!$X$3)^Konstanten!$G$6*((Massenstromrechnung!$X$3+AY12)/2)^Konstanten!$H$6*(Konstanten!$C$6-(AY12-Massenstromrechnung!$X$3)^Konstanten!$I$6*Konstanten!$D$6)</f>
        <v>2044.3435277201093</v>
      </c>
      <c r="BB12" s="104">
        <f>IF(AZ12="trocken",BA12,IF(Konstanten!$A$18*(Massenstromrechnung!$Y$6^Konstanten!$B$18*(Massenstromrechnung!$X$4-(Iteration!AY12+Massenstromrechnung!$X$3)/2)^Konstanten!$C$18*BA12^Konstanten!$D$18*((Massenstromrechnung!$X$3+Iteration!AY12)/2)^Konstanten!$E$18+(Iteration!AY12-Massenstromrechnung!$X$3)^Konstanten!$F$18)&lt;1,BA12,BA12*Konstanten!$A$18*(Massenstromrechnung!$Y$6^Konstanten!$B$18*(Massenstromrechnung!$X$4-(Iteration!AY12+Massenstromrechnung!$X$3)/2)^Konstanten!$C$18*BA12^Konstanten!$D$18*((Massenstromrechnung!$X$3+Iteration!AY12)/2)^Konstanten!$E$18+(Iteration!AY12-Massenstromrechnung!$X$3)^Konstanten!$F$18)))</f>
        <v>2703.3830404909281</v>
      </c>
      <c r="BC12" s="101">
        <f>BB12/(Massenstromrechnung!$R22*Konstanten!$K$3/3.6)+Massenstromrechnung!$X$3</f>
        <v>11.947548930278577</v>
      </c>
      <c r="BD12" s="103" t="str">
        <f>IF(OR(Massenstromrechnung!$Y$6&lt;(BC12*50+Massenstromrechnung!$X$3)/51,(Massenstromrechnung!$Y$6-(BC12*51+Massenstromrechnung!$X$3)/51)&lt;0.7),"trocken","feucht")</f>
        <v>feucht</v>
      </c>
      <c r="BE12" s="104">
        <f>(Massenstromrechnung!$X$4-(Massenstromrechnung!$X$3+BC12)/2)^Konstanten!$E$6*$AK12*$AL12^Konstanten!$F$6*(BC12-Massenstromrechnung!$X$3)^Konstanten!$G$6*((Massenstromrechnung!$X$3+BC12)/2)^Konstanten!$H$6*(Konstanten!$C$6-(BC12-Massenstromrechnung!$X$3)^Konstanten!$I$6*Konstanten!$D$6)</f>
        <v>2063.871484574548</v>
      </c>
      <c r="BF12" s="104">
        <f>IF(BD12="trocken",BE12,IF(Konstanten!$A$18*(Massenstromrechnung!$Y$6^Konstanten!$B$18*(Massenstromrechnung!$X$4-(Iteration!BC12+Massenstromrechnung!$X$3)/2)^Konstanten!$C$18*BE12^Konstanten!$D$18*((Massenstromrechnung!$X$3+Iteration!BC12)/2)^Konstanten!$E$18+(Iteration!BC12-Massenstromrechnung!$X$3)^Konstanten!$F$18)&lt;1,BE12,BE12*Konstanten!$A$18*(Massenstromrechnung!$Y$6^Konstanten!$B$18*(Massenstromrechnung!$X$4-(Iteration!BC12+Massenstromrechnung!$X$3)/2)^Konstanten!$C$18*BE12^Konstanten!$D$18*((Massenstromrechnung!$X$3+Iteration!BC12)/2)^Konstanten!$E$18+(Iteration!BC12-Massenstromrechnung!$X$3)^Konstanten!$F$18)))</f>
        <v>2742.2986875078532</v>
      </c>
      <c r="BG12" s="101">
        <f>BF12/(Massenstromrechnung!$R22*Konstanten!$K$3/3.6)+Massenstromrechnung!$X$3</f>
        <v>12.018769717302055</v>
      </c>
      <c r="BH12" s="103" t="str">
        <f>IF(OR(Massenstromrechnung!$Y$6&lt;(BG12*50+Massenstromrechnung!$X$3)/51,(Massenstromrechnung!$Y$6-(BG12*51+Massenstromrechnung!$X$3)/51)&lt;0.7),"trocken","feucht")</f>
        <v>feucht</v>
      </c>
      <c r="BI12" s="104">
        <f>(Massenstromrechnung!$X$4-(Massenstromrechnung!$X$3+BG12)/2)^Konstanten!$E$6*$AK12*$AL12^Konstanten!$F$6*(BG12-Massenstromrechnung!$X$3)^Konstanten!$G$6*((Massenstromrechnung!$X$3+BG12)/2)^Konstanten!$H$6*(Konstanten!$C$6-(BG12-Massenstromrechnung!$X$3)^Konstanten!$I$6*Konstanten!$D$6)</f>
        <v>2056.9217196593572</v>
      </c>
      <c r="BJ12" s="104">
        <f>IF(BH12="trocken",BI12,IF(Konstanten!$A$18*(Massenstromrechnung!$Y$6^Konstanten!$B$18*(Massenstromrechnung!$X$4-(Iteration!BG12+Massenstromrechnung!$X$3)/2)^Konstanten!$C$18*BI12^Konstanten!$D$18*((Massenstromrechnung!$X$3+Iteration!BG12)/2)^Konstanten!$E$18+(Iteration!BG12-Massenstromrechnung!$X$3)^Konstanten!$F$18)&lt;1,BI12,BI12*Konstanten!$A$18*(Massenstromrechnung!$Y$6^Konstanten!$B$18*(Massenstromrechnung!$X$4-(Iteration!BG12+Massenstromrechnung!$X$3)/2)^Konstanten!$C$18*BI12^Konstanten!$D$18*((Massenstromrechnung!$X$3+Iteration!BG12)/2)^Konstanten!$E$18+(Iteration!BG12-Massenstromrechnung!$X$3)^Konstanten!$F$18)))</f>
        <v>2728.3880555497094</v>
      </c>
      <c r="BK12" s="101">
        <f>IF(BJ12/(Massenstromrechnung!$R22*Konstanten!$K$3/3.6)+Massenstromrechnung!$X$3-Massenstromrechnung!$X$3&lt;1.4,"RLT zu niedrig",BJ12/(Massenstromrechnung!$R22*Konstanten!$K$3/3.6)+Massenstromrechnung!$X$3)</f>
        <v>11.993311418854081</v>
      </c>
      <c r="BL12" s="103" t="str">
        <f>IF(BK12="RLT zu niedrig","RLT zu niedrig",IF(OR(Massenstromrechnung!$Y$6&lt;(BK12*50+Massenstromrechnung!$X$3)/51,(Massenstromrechnung!$Y$6-(BK12*51+Massenstromrechnung!$X$3)/51)&lt;0.7),"trocken","feucht"))</f>
        <v>feucht</v>
      </c>
      <c r="BM12" s="104">
        <f>IF(BK12="RLT zu niedrig","RLT zu niedrig",(Massenstromrechnung!$X$4-(Massenstromrechnung!$X$3+BK12)/2)^Konstanten!$E$6*$AK12*$AL12^Konstanten!$F$6*(BK12-Massenstromrechnung!$X$3)^Konstanten!$G$6*((Massenstromrechnung!$X$3+BK12)/2)^Konstanten!$H$6*(Konstanten!$C$6-(BK12-Massenstromrechnung!$X$3)^Konstanten!$I$6*Konstanten!$D$6))</f>
        <v>2059.4031779416669</v>
      </c>
      <c r="BN12" s="104">
        <f>IF(BK12="RLT zu niedrig","RLT zu niedrig",IF(BL12="trocken",BM12,IF(Konstanten!$A$18*(Massenstromrechnung!$Y$6^Konstanten!$B$18*(Massenstromrechnung!$X$4-(Iteration!BK12+Massenstromrechnung!$X$3)/2)^Konstanten!$C$18*BM12^Konstanten!$D$18*((Massenstromrechnung!$X$3+Iteration!BK12)/2)^Konstanten!$E$18+(Iteration!BK12-Massenstromrechnung!$X$3)^Konstanten!$F$18)&lt;1,BM12,BM12*Konstanten!$A$18*(Massenstromrechnung!$Y$6^Konstanten!$B$18*(Massenstromrechnung!$X$4-(Iteration!BK12+Massenstromrechnung!$X$3)/2)^Konstanten!$C$18*BM12^Konstanten!$D$18*((Massenstromrechnung!$X$3+Iteration!BK12)/2)^Konstanten!$E$18+(Iteration!BK12-Massenstromrechnung!$X$3)^Konstanten!$F$18))))</f>
        <v>2733.3470625586547</v>
      </c>
      <c r="BO12" s="101"/>
      <c r="BP12">
        <f t="shared" si="10"/>
        <v>1130</v>
      </c>
      <c r="BQ12">
        <f t="shared" si="10"/>
        <v>1205</v>
      </c>
      <c r="BR12" s="103">
        <f>Massenstromrechnung!$X$3+2</f>
        <v>9</v>
      </c>
      <c r="BS12" s="103" t="str">
        <f>IF(OR(Massenstromrechnung!$Y$6&lt;(BR12*50+Massenstromrechnung!$X$3)/51,(Massenstromrechnung!$Y$6-(BR12*51+Massenstromrechnung!$X$3)/51)&lt;0.7),"trocken","feucht")</f>
        <v>feucht</v>
      </c>
      <c r="BT12" s="104">
        <f>(Massenstromrechnung!$X$4-(Massenstromrechnung!$X$3+BR12)/2)^Konstanten!$E$7*$AK12*$AL12^Konstanten!$F$7*(BR12-Massenstromrechnung!$X$3)^Konstanten!$G$7*((Massenstromrechnung!$X$3+BR12)/2)^Konstanten!$H$7*(Konstanten!$C$7-(BR12-Massenstromrechnung!$X$3)^Konstanten!$I$7*Konstanten!$D$7)</f>
        <v>2512.3080223548473</v>
      </c>
      <c r="BU12" s="104">
        <f>IF(BS12="trocken",BT12,IF(Konstanten!$A$18*(Massenstromrechnung!$Y$6^Konstanten!$B$18*(Massenstromrechnung!$X$4-(Iteration!BR12+Massenstromrechnung!$X$3)/2)^Konstanten!$C$18*BT12^Konstanten!$D$18*((Massenstromrechnung!$X$3+Iteration!BR12)/2)^Konstanten!$E$18+(Iteration!BR12-Massenstromrechnung!$X$3)^Konstanten!$F$18)&lt;1,BT12,BT12*Konstanten!$A$18*(Massenstromrechnung!$Y$6^Konstanten!$B$18*(Massenstromrechnung!$X$4-(Iteration!BR12+Massenstromrechnung!$X$3)/2)^Konstanten!$C$18*BT12^Konstanten!$D$18*((Massenstromrechnung!$X$3+Iteration!BR12)/2)^Konstanten!$E$18+(Iteration!BR12-Massenstromrechnung!$X$3)^Konstanten!$F$18)))</f>
        <v>3662.1615917087379</v>
      </c>
      <c r="BV12" s="101">
        <f>BU12/(Massenstromrechnung!$AA22*Konstanten!$K$3/3.6)+Massenstromrechnung!$X$3</f>
        <v>13.898896002714741</v>
      </c>
      <c r="BW12" s="103" t="str">
        <f>IF(OR(Massenstromrechnung!$Y$6&lt;(BV12*50+Massenstromrechnung!$X$3)/51,(Massenstromrechnung!$Y$6-(BV12*51+Massenstromrechnung!$X$3)/51)&lt;0.7),"trocken","feucht")</f>
        <v>feucht</v>
      </c>
      <c r="BX12" s="104">
        <f>(Massenstromrechnung!$X$4-(Massenstromrechnung!$X$3+BV12)/2)^Konstanten!$E$7*$AK12*$AL12^Konstanten!$F$7*(BV12-Massenstromrechnung!$X$3)^Konstanten!$G$7*((Massenstromrechnung!$X$3+BV12)/2)^Konstanten!$H$7*(Konstanten!$C$7-(BV12-Massenstromrechnung!$X$3)^Konstanten!$I$7*Konstanten!$D$7)</f>
        <v>1795.4999419182966</v>
      </c>
      <c r="BY12" s="104">
        <f>IF(BW12="trocken",BX12,IF(Konstanten!$A$18*(Massenstromrechnung!$Y$6^Konstanten!$B$18*(Massenstromrechnung!$X$4-(Iteration!BV12+Massenstromrechnung!$X$3)/2)^Konstanten!$C$18*BX12^Konstanten!$D$18*((Massenstromrechnung!$X$3+Iteration!BV12)/2)^Konstanten!$E$18+(Iteration!BV12-Massenstromrechnung!$X$3)^Konstanten!$F$18)&lt;1,BX12,BX12*Konstanten!$A$18*(Massenstromrechnung!$Y$6^Konstanten!$B$18*(Massenstromrechnung!$X$4-(Iteration!BV12+Massenstromrechnung!$X$3)/2)^Konstanten!$C$18*BX12^Konstanten!$D$18*((Massenstromrechnung!$X$3+Iteration!BV12)/2)^Konstanten!$E$18+(Iteration!BV12-Massenstromrechnung!$X$3)^Konstanten!$F$18)))</f>
        <v>2291.2730194211913</v>
      </c>
      <c r="BZ12" s="101">
        <f>BY12/(Massenstromrechnung!$AA22*Konstanten!$K$3/3.6)+Massenstromrechnung!$X$3</f>
        <v>11.316372688360111</v>
      </c>
      <c r="CA12" s="103" t="str">
        <f>IF(OR(Massenstromrechnung!$Y$6&lt;(BZ12*50+Massenstromrechnung!$X$3)/51,(Massenstromrechnung!$Y$6-(BZ12*51+Massenstromrechnung!$X$3)/51)&lt;0.7),"trocken","feucht")</f>
        <v>feucht</v>
      </c>
      <c r="CB12" s="104">
        <f>(Massenstromrechnung!$X$4-(Massenstromrechnung!$X$3+BZ12)/2)^Konstanten!$E$7*$AK12*$AL12^Konstanten!$F$7*(BZ12-Massenstromrechnung!$X$3)^Konstanten!$G$7*((Massenstromrechnung!$X$3+BZ12)/2)^Konstanten!$H$7*(Konstanten!$C$7-(BZ12-Massenstromrechnung!$X$3)^Konstanten!$I$7*Konstanten!$D$7)</f>
        <v>2085.6945324954313</v>
      </c>
      <c r="CC12" s="104">
        <f>IF(CA12="trocken",CB12,IF(Konstanten!$A$18*(Massenstromrechnung!$Y$6^Konstanten!$B$18*(Massenstromrechnung!$X$4-(Iteration!BZ12+Massenstromrechnung!$X$3)/2)^Konstanten!$C$18*CB12^Konstanten!$D$18*((Massenstromrechnung!$X$3+Iteration!BZ12)/2)^Konstanten!$E$18+(Iteration!BZ12-Massenstromrechnung!$X$3)^Konstanten!$F$18)&lt;1,CB12,CB12*Konstanten!$A$18*(Massenstromrechnung!$Y$6^Konstanten!$B$18*(Massenstromrechnung!$X$4-(Iteration!BZ12+Massenstromrechnung!$X$3)/2)^Konstanten!$C$18*CB12^Konstanten!$D$18*((Massenstromrechnung!$X$3+Iteration!BZ12)/2)^Konstanten!$E$18+(Iteration!BZ12-Massenstromrechnung!$X$3)^Konstanten!$F$18)))</f>
        <v>2817.482829175708</v>
      </c>
      <c r="CD12" s="101">
        <f>CC12/(Massenstromrechnung!$AA22*Konstanten!$K$3/3.6)+Massenstromrechnung!$X$3</f>
        <v>12.307663395281338</v>
      </c>
      <c r="CE12" s="103" t="str">
        <f>IF(OR(Massenstromrechnung!$Y$6&lt;(CD12*50+Massenstromrechnung!$X$3)/51,(Massenstromrechnung!$Y$6-(CD12*51+Massenstromrechnung!$X$3)/51)&lt;0.7),"trocken","feucht")</f>
        <v>feucht</v>
      </c>
      <c r="CF12" s="104">
        <f>(Massenstromrechnung!$X$4-(Massenstromrechnung!$X$3+CD12)/2)^Konstanten!$E$7*$AK12*$AL12^Konstanten!$F$7*(CD12-Massenstromrechnung!$X$3)^Konstanten!$G$7*((Massenstromrechnung!$X$3+CD12)/2)^Konstanten!$H$7*(Konstanten!$C$7-(CD12-Massenstromrechnung!$X$3)^Konstanten!$I$7*Konstanten!$D$7)</f>
        <v>1961.9610909271064</v>
      </c>
      <c r="CG12" s="104">
        <f>IF(CE12="trocken",CF12,IF(Konstanten!$A$18*(Massenstromrechnung!$Y$6^Konstanten!$B$18*(Massenstromrechnung!$X$4-(Iteration!CD12+Massenstromrechnung!$X$3)/2)^Konstanten!$C$18*CF12^Konstanten!$D$18*((Massenstromrechnung!$X$3+Iteration!CD12)/2)^Konstanten!$E$18+(Iteration!CD12-Massenstromrechnung!$X$3)^Konstanten!$F$18)&lt;1,CF12,CF12*Konstanten!$A$18*(Massenstromrechnung!$Y$6^Konstanten!$B$18*(Massenstromrechnung!$X$4-(Iteration!CD12+Massenstromrechnung!$X$3)/2)^Konstanten!$C$18*CF12^Konstanten!$D$18*((Massenstromrechnung!$X$3+Iteration!CD12)/2)^Konstanten!$E$18+(Iteration!CD12-Massenstromrechnung!$X$3)^Konstanten!$F$18)))</f>
        <v>2587.4269328783239</v>
      </c>
      <c r="CH12" s="101">
        <f>CG12/(Massenstromrechnung!$AA22*Konstanten!$K$3/3.6)+Massenstromrechnung!$X$3</f>
        <v>11.874276810986341</v>
      </c>
      <c r="CI12" s="103" t="str">
        <f>IF(OR(Massenstromrechnung!$Y$6&lt;(CH12*50+Massenstromrechnung!$X$3)/51,(Massenstromrechnung!$Y$6-(CH12*51+Massenstromrechnung!$X$3)/51)&lt;0.7),"trocken","feucht")</f>
        <v>feucht</v>
      </c>
      <c r="CJ12" s="104">
        <f>(Massenstromrechnung!$X$4-(Massenstromrechnung!$X$3+CH12)/2)^Konstanten!$E$7*$AK12*$AL12^Konstanten!$F$7*(CH12-Massenstromrechnung!$X$3)^Konstanten!$G$7*((Massenstromrechnung!$X$3+CH12)/2)^Konstanten!$H$7*(Konstanten!$C$7-(CH12-Massenstromrechnung!$X$3)^Konstanten!$I$7*Konstanten!$D$7)</f>
        <v>2013.6330999766856</v>
      </c>
      <c r="CK12" s="104">
        <f>IF(CI12="trocken",CJ12,IF(Konstanten!$A$18*(Massenstromrechnung!$Y$6^Konstanten!$B$18*(Massenstromrechnung!$X$4-(Iteration!CH12+Massenstromrechnung!$X$3)/2)^Konstanten!$C$18*CJ12^Konstanten!$D$18*((Massenstromrechnung!$X$3+Iteration!CH12)/2)^Konstanten!$E$18+(Iteration!CH12-Massenstromrechnung!$X$3)^Konstanten!$F$18)&lt;1,CJ12,CJ12*Konstanten!$A$18*(Massenstromrechnung!$Y$6^Konstanten!$B$18*(Massenstromrechnung!$X$4-(Iteration!CH12+Massenstromrechnung!$X$3)/2)^Konstanten!$C$18*CJ12^Konstanten!$D$18*((Massenstromrechnung!$X$3+Iteration!CH12)/2)^Konstanten!$E$18+(Iteration!CH12-Massenstromrechnung!$X$3)^Konstanten!$F$18)))</f>
        <v>2682.5524357484433</v>
      </c>
      <c r="CL12" s="101">
        <f>CK12/(Massenstromrechnung!$AA22*Konstanten!$K$3/3.6)+Massenstromrechnung!$X$3</f>
        <v>12.053477246322863</v>
      </c>
      <c r="CM12" s="103" t="str">
        <f>IF(OR(Massenstromrechnung!$Y$6&lt;(CL12*50+Massenstromrechnung!$X$3)/51,(Massenstromrechnung!$Y$6-(CL12*51+Massenstromrechnung!$X$3)/51)&lt;0.7),"trocken","feucht")</f>
        <v>feucht</v>
      </c>
      <c r="CN12" s="104">
        <f>(Massenstromrechnung!$X$4-(Massenstromrechnung!$X$3+CL12)/2)^Konstanten!$E$7*$AK12*$AL12^Konstanten!$F$7*(CL12-Massenstromrechnung!$X$3)^Konstanten!$G$7*((Massenstromrechnung!$X$3+CL12)/2)^Konstanten!$H$7*(Konstanten!$C$7-(CL12-Massenstromrechnung!$X$3)^Konstanten!$I$7*Konstanten!$D$7)</f>
        <v>1991.8574877314218</v>
      </c>
      <c r="CO12" s="104">
        <f>IF(CM12="trocken",CN12,IF(Konstanten!$A$18*(Massenstromrechnung!$Y$6^Konstanten!$B$18*(Massenstromrechnung!$X$4-(Iteration!CL12+Massenstromrechnung!$X$3)/2)^Konstanten!$C$18*CN12^Konstanten!$D$18*((Massenstromrechnung!$X$3+Iteration!CL12)/2)^Konstanten!$E$18+(Iteration!CL12-Massenstromrechnung!$X$3)^Konstanten!$F$18)&lt;1,CN12,CN12*Konstanten!$A$18*(Massenstromrechnung!$Y$6^Konstanten!$B$18*(Massenstromrechnung!$X$4-(Iteration!CL12+Massenstromrechnung!$X$3)/2)^Konstanten!$C$18*CN12^Konstanten!$D$18*((Massenstromrechnung!$X$3+Iteration!CL12)/2)^Konstanten!$E$18+(Iteration!CL12-Massenstromrechnung!$X$3)^Konstanten!$F$18)))</f>
        <v>2642.2929202689998</v>
      </c>
      <c r="CP12" s="101">
        <f>IF(CO12/(Massenstromrechnung!$AA22*Konstanten!$K$3/3.6)+Massenstromrechnung!$X$3-Massenstromrechnung!$X$3&lt;1.4,"RLT zu niedrig",CO12/(Massenstromrechnung!$AA22*Konstanten!$K$3/3.6)+Massenstromrechnung!$X$3)</f>
        <v>11.977635095872378</v>
      </c>
      <c r="CQ12" s="103" t="str">
        <f>IF(CP12="RLT zu niedrig","RLT zu niedrig",IF(OR(Massenstromrechnung!$Y$6&lt;(CP12*50+Massenstromrechnung!$X$3)/51,(Massenstromrechnung!$Y$6-(CP12*51+Massenstromrechnung!$X$3)/51)&lt;0.7),"trocken","feucht"))</f>
        <v>feucht</v>
      </c>
      <c r="CR12" s="104">
        <f>IF(CP12="RLT zu niedrig","RLT zu niedrig",(Massenstromrechnung!$X$4-(Massenstromrechnung!$X$3+CP12)/2)^Konstanten!$E$7*$AK12*$AL12^Konstanten!$F$7*(CP12-Massenstromrechnung!$X$3)^Konstanten!$G$7*((Massenstromrechnung!$X$3+CP12)/2)^Konstanten!$H$7*(Konstanten!$C$7-(CP12-Massenstromrechnung!$X$3)^Konstanten!$I$7*Konstanten!$D$7))</f>
        <v>2000.9997212690405</v>
      </c>
      <c r="CS12" s="104">
        <f>IF(CP12="RLT zu niedrig","RLT zu niedrig",IF(CQ12="trocken",CR12,IF(Konstanten!$A$18*(Massenstromrechnung!$Y$6^Konstanten!$B$18*(Massenstromrechnung!$X$4-(Iteration!CP12+Massenstromrechnung!$X$3)/2)^Konstanten!$C$18*CR12^Konstanten!$D$18*((Massenstromrechnung!$X$3+Iteration!CP12)/2)^Konstanten!$E$18+(Iteration!CP12-Massenstromrechnung!$X$3)^Konstanten!$F$18)&lt;1,CR12,CR12*Konstanten!$A$18*(Massenstromrechnung!$Y$6^Konstanten!$B$18*(Massenstromrechnung!$X$4-(Iteration!CP12+Massenstromrechnung!$X$3)/2)^Konstanten!$C$18*CR12^Konstanten!$D$18*((Massenstromrechnung!$X$3+Iteration!CP12)/2)^Konstanten!$E$18+(Iteration!CP12-Massenstromrechnung!$X$3)^Konstanten!$F$18))))</f>
        <v>2659.1653889391146</v>
      </c>
    </row>
    <row r="13" spans="1:97" x14ac:dyDescent="0.3">
      <c r="A13">
        <f>Massenstromrechnung!B23</f>
        <v>1130</v>
      </c>
      <c r="B13" s="27">
        <v>985</v>
      </c>
      <c r="C13" s="103">
        <f>IF(Massenstromrechnung!$K$3-10&lt;=Massenstromrechnung!$K$4,Massenstromrechnung!$K$3-0.75*(Massenstromrechnung!$K$3-Massenstromrechnung!$K$4),Massenstromrechnung!$K$3-10)</f>
        <v>65</v>
      </c>
      <c r="D13" s="103">
        <f>-1*((Massenstromrechnung!$K$3+C13)/2-Massenstromrechnung!$K$4)^Konstanten!$E$4*Massenstromrechnung!$B23*Massenstromrechnung!$C23^Konstanten!$F$4*(Massenstromrechnung!$K$3-C13)^Konstanten!$G$4*((Massenstromrechnung!$K$3+C13)/2)^Konstanten!$H$4*(Konstanten!$C$4-((Massenstromrechnung!$K$3-C13)^Konstanten!$I$4*Konstanten!$D$4))/(Massenstromrechnung!$F23*Konstanten!$K$3/3.6)+Massenstromrechnung!$K$3</f>
        <v>65</v>
      </c>
      <c r="E13" s="103">
        <f t="shared" si="6"/>
        <v>65</v>
      </c>
      <c r="F13" s="103">
        <f>-1*((Massenstromrechnung!$K$3+E13)/2-Massenstromrechnung!$K$4)^Konstanten!$E$4*Massenstromrechnung!$B23*Massenstromrechnung!$C23^Konstanten!$F$4*(Massenstromrechnung!$K$3-E13)^Konstanten!$G$4*((Massenstromrechnung!$K$3+E13)/2)^Konstanten!$H$4*(Konstanten!$C$4-((Massenstromrechnung!$K$3-E13)^Konstanten!$I$4*Konstanten!$D$4))/(Massenstromrechnung!$F23*Konstanten!$K$3/3.6)+Massenstromrechnung!$K$3</f>
        <v>65</v>
      </c>
      <c r="G13" s="103">
        <f t="shared" si="0"/>
        <v>65</v>
      </c>
      <c r="H13" s="103">
        <f>-1*((Massenstromrechnung!$K$3+G13)/2-Massenstromrechnung!$K$4)^Konstanten!$E$4*Massenstromrechnung!$B23*Massenstromrechnung!$C23^Konstanten!$F$4*(Massenstromrechnung!$K$3-G13)^Konstanten!$G$4*((Massenstromrechnung!$K$3+G13)/2)^Konstanten!$H$4*(Konstanten!$C$4-((Massenstromrechnung!$K$3-G13)^Konstanten!$I$4*Konstanten!$D$4))/(Massenstromrechnung!$F23*Konstanten!$K$3/3.6)+Massenstromrechnung!$K$3</f>
        <v>65</v>
      </c>
      <c r="I13" s="103">
        <f t="shared" si="1"/>
        <v>65</v>
      </c>
      <c r="J13" s="103">
        <f>-1*((Massenstromrechnung!$K$3+I13)/2-Massenstromrechnung!$K$4)^Konstanten!$E$4*Massenstromrechnung!$B23*Massenstromrechnung!$C23^Konstanten!$F$4*(Massenstromrechnung!$K$3-I13)^Konstanten!$G$4*((Massenstromrechnung!$K$3+I13)/2)^Konstanten!$H$4*(Konstanten!$C$4-((Massenstromrechnung!$K$3-I13)^Konstanten!$I$4*Konstanten!$D$4))/(Massenstromrechnung!$F23*Konstanten!$K$3/3.6)+Massenstromrechnung!$K$3</f>
        <v>65</v>
      </c>
      <c r="K13" s="103">
        <f t="shared" si="2"/>
        <v>65</v>
      </c>
      <c r="L13" s="103">
        <f>-1*((Massenstromrechnung!$K$3+K13)/2-Massenstromrechnung!$K$4)^Konstanten!$E$4*Massenstromrechnung!$B23*Massenstromrechnung!$C23^Konstanten!$F$4*(Massenstromrechnung!$K$3-K13)^Konstanten!$G$4*((Massenstromrechnung!$K$3+K13)/2)^Konstanten!$H$4*(Konstanten!$C$4-((Massenstromrechnung!$K$3-K13)^Konstanten!$I$4*Konstanten!$D$4))/(Massenstromrechnung!$F23*Konstanten!$K$3/3.6)+Massenstromrechnung!$K$3</f>
        <v>65</v>
      </c>
      <c r="N13">
        <f>'Katalogdaten M3G045'!B27</f>
        <v>1130</v>
      </c>
      <c r="O13" s="27">
        <v>985</v>
      </c>
      <c r="P13" s="103">
        <f>IF(Massenstromrechnung!$K$3-10&lt;=Massenstromrechnung!$K$4,Massenstromrechnung!$K$3-0.75*(Massenstromrechnung!$K$3-Massenstromrechnung!$K$4),Massenstromrechnung!$K$3-10)</f>
        <v>65</v>
      </c>
      <c r="Q13" s="103" t="e">
        <f>-1*((Massenstromrechnung!$K$3+P13)/2-Massenstromrechnung!$K$4)^Konstanten!$E$4*Massenstromrechnung!$B23*Massenstromrechnung!$C23^Konstanten!$F$4*(Massenstromrechnung!$K$3-P13)^Konstanten!$G$4*((Massenstromrechnung!$K$3+P13)/2)^Konstanten!$H$4*(Konstanten!$C$4-((Massenstromrechnung!$K$3-P13)^Konstanten!$I$4*Konstanten!$D$4))/(Massenstromrechnung!#REF!*Konstanten!$K$3/3.6)+Massenstromrechnung!$K$3</f>
        <v>#REF!</v>
      </c>
      <c r="R13" s="103" t="e">
        <f t="shared" si="7"/>
        <v>#REF!</v>
      </c>
      <c r="S13" s="103" t="e">
        <f>-1*((Massenstromrechnung!$K$3+R13)/2-Massenstromrechnung!$K$4)^Konstanten!$E$4*Massenstromrechnung!$B23*Massenstromrechnung!$C23^Konstanten!$F$4*(Massenstromrechnung!$K$3-R13)^Konstanten!$G$4*((Massenstromrechnung!$K$3+R13)/2)^Konstanten!$H$4*(Konstanten!$C$4-((Massenstromrechnung!$K$3-R13)^Konstanten!$I$4*Konstanten!$D$4))/(Massenstromrechnung!#REF!*Konstanten!$K$3/3.6)+Massenstromrechnung!$K$3</f>
        <v>#REF!</v>
      </c>
      <c r="T13" s="103" t="e">
        <f t="shared" si="3"/>
        <v>#REF!</v>
      </c>
      <c r="U13" s="103" t="e">
        <f>-1*((Massenstromrechnung!$K$3+T13)/2-Massenstromrechnung!$K$4)^Konstanten!$E$4*Massenstromrechnung!$B23*Massenstromrechnung!$C23^Konstanten!$F$4*(Massenstromrechnung!$K$3-T13)^Konstanten!$G$4*((Massenstromrechnung!$K$3+T13)/2)^Konstanten!$H$4*(Konstanten!$C$4-((Massenstromrechnung!$K$3-T13)^Konstanten!$I$4*Konstanten!$D$4))/(Massenstromrechnung!#REF!*Konstanten!$K$3/3.6)+Massenstromrechnung!$K$3</f>
        <v>#REF!</v>
      </c>
      <c r="V13" s="103" t="e">
        <f t="shared" si="4"/>
        <v>#REF!</v>
      </c>
      <c r="W13" s="103" t="e">
        <f>-1*((Massenstromrechnung!$K$3+V13)/2-Massenstromrechnung!$K$4)^Konstanten!$E$4*Massenstromrechnung!$B23*Massenstromrechnung!$C23^Konstanten!$F$4*(Massenstromrechnung!$K$3-V13)^Konstanten!$G$4*((Massenstromrechnung!$K$3+V13)/2)^Konstanten!$H$4*(Konstanten!$C$4-((Massenstromrechnung!$K$3-V13)^Konstanten!$I$4*Konstanten!$D$4))/(Massenstromrechnung!#REF!*Konstanten!$K$3/3.6)+Massenstromrechnung!$K$3</f>
        <v>#REF!</v>
      </c>
      <c r="X13" s="103" t="e">
        <f t="shared" si="5"/>
        <v>#REF!</v>
      </c>
      <c r="Y13" s="103" t="e">
        <f>-1*((Massenstromrechnung!$K$3+X13)/2-Massenstromrechnung!$K$4)^Konstanten!$E$4*Massenstromrechnung!$B23*Massenstromrechnung!$C23^Konstanten!$F$4*(Massenstromrechnung!$K$3-X13)^Konstanten!$G$4*((Massenstromrechnung!$K$3+X13)/2)^Konstanten!$H$4*(Konstanten!$C$4-((Massenstromrechnung!$K$3-X13)^Konstanten!$I$4*Konstanten!$D$4))/(Massenstromrechnung!#REF!*Konstanten!$K$3/3.6)+Massenstromrechnung!$K$3</f>
        <v>#REF!</v>
      </c>
      <c r="AA13">
        <f t="shared" si="8"/>
        <v>1130</v>
      </c>
      <c r="AB13">
        <f t="shared" si="8"/>
        <v>985</v>
      </c>
      <c r="AC13" s="103">
        <f>IF(Massenstromrechnung!$K$3-10&lt;=Massenstromrechnung!$K$4,Massenstromrechnung!$K$3-0.75*(Massenstromrechnung!$K$3-Massenstromrechnung!$K$4),Massenstromrechnung!$K$3-10)</f>
        <v>65</v>
      </c>
      <c r="AD13" s="103">
        <f>-1*((Massenstromrechnung!$K$3+AC13)/2-Massenstromrechnung!$K$4)^Konstanten!$E$5*$AA13*$AB13^Konstanten!$F$5*(Massenstromrechnung!$K$3-AC13)^Konstanten!$G$5*((Massenstromrechnung!$K$3+AC13)/2)^Konstanten!$H$5*(Konstanten!$C$5-((Massenstromrechnung!$K$3-AC13)^Konstanten!$I$5*Konstanten!$D$5))/(Massenstromrechnung!$L23*Konstanten!$K$3/3.6)+Massenstromrechnung!$K$3</f>
        <v>65</v>
      </c>
      <c r="AE13" s="103">
        <f>-1*((Massenstromrechnung!$K$3+AD13)/2-Massenstromrechnung!$K$4)^Konstanten!$E$5*$AA13*$AB13^Konstanten!$F$5*(Massenstromrechnung!$K$3-AD13)^Konstanten!$G$5*((Massenstromrechnung!$K$3+AD13)/2)^Konstanten!$H$5*(Konstanten!$C$5-((Massenstromrechnung!$K$3-AD13)^Konstanten!$I$5*Konstanten!$D$5))/(Massenstromrechnung!$L23*Konstanten!$K$3/3.6)+Massenstromrechnung!$K$3</f>
        <v>65</v>
      </c>
      <c r="AF13" s="103">
        <f>-1*((Massenstromrechnung!$K$3+AE13)/2-Massenstromrechnung!$K$4)^Konstanten!$E$5*$AA13*$AB13^Konstanten!$F$5*(Massenstromrechnung!$K$3-AE13)^Konstanten!$G$5*((Massenstromrechnung!$K$3+AE13)/2)^Konstanten!$H$5*(Konstanten!$C$5-((Massenstromrechnung!$K$3-AE13)^Konstanten!$I$5*Konstanten!$D$5))/(Massenstromrechnung!$L23*Konstanten!$K$3/3.6)+Massenstromrechnung!$K$3</f>
        <v>65</v>
      </c>
      <c r="AG13" s="103">
        <f>-1*((Massenstromrechnung!$K$3+AF13)/2-Massenstromrechnung!$K$4)^Konstanten!$E$5*$AA13*$AB13^Konstanten!$F$5*(Massenstromrechnung!$K$3-AF13)^Konstanten!$G$5*((Massenstromrechnung!$K$3+AF13)/2)^Konstanten!$H$5*(Konstanten!$C$5-((Massenstromrechnung!$K$3-AF13)^Konstanten!$I$5*Konstanten!$D$5))/(Massenstromrechnung!$L23*Konstanten!$K$3/3.6)+Massenstromrechnung!$K$3</f>
        <v>65</v>
      </c>
      <c r="AH13" s="103">
        <f>-1*((Massenstromrechnung!$K$3+AG13)/2-Massenstromrechnung!$K$4)^Konstanten!$E$5*$AA13*$AB13^Konstanten!$F$5*(Massenstromrechnung!$K$3-AG13)^Konstanten!$G$5*((Massenstromrechnung!$K$3+AG13)/2)^Konstanten!$H$5*(Konstanten!$C$5-((Massenstromrechnung!$K$3-AG13)^Konstanten!$I$5*Konstanten!$D$5))/(Massenstromrechnung!$L23*Konstanten!$K$3/3.6)+Massenstromrechnung!$K$3</f>
        <v>65</v>
      </c>
      <c r="AI13" s="103">
        <f>-1*((Massenstromrechnung!$K$3+AH13)/2-Massenstromrechnung!$K$4)^Konstanten!$E$5*$AA13*$AB13^Konstanten!$F$5*(Massenstromrechnung!$K$3-AH13)^Konstanten!$G$5*((Massenstromrechnung!$K$3+AH13)/2)^Konstanten!$H$5*(Konstanten!$C$5-((Massenstromrechnung!$K$3-AH13)^Konstanten!$I$5*Konstanten!$D$5))/(Massenstromrechnung!$L23*Konstanten!$K$3/3.6)+Massenstromrechnung!$K$3</f>
        <v>65</v>
      </c>
      <c r="AK13">
        <f t="shared" si="9"/>
        <v>1130</v>
      </c>
      <c r="AL13">
        <f t="shared" si="9"/>
        <v>985</v>
      </c>
      <c r="AM13" s="103">
        <f>Massenstromrechnung!$X$3+2</f>
        <v>9</v>
      </c>
      <c r="AN13" s="103" t="str">
        <f>IF(OR(Massenstromrechnung!$Y$6&lt;(AM13*50+Massenstromrechnung!$X$3)/51,(Massenstromrechnung!$Y$6-(AM13*51+Massenstromrechnung!$X$3)/51)&lt;0.7),"trocken","feucht")</f>
        <v>feucht</v>
      </c>
      <c r="AO13" s="104">
        <f>(Massenstromrechnung!$X$4-(Massenstromrechnung!$X$3+AM13)/2)^Konstanten!$E$6*$AK13*$AL13^Konstanten!$F$6*(AM13-Massenstromrechnung!$X$3)^Konstanten!$G$6*((Massenstromrechnung!$X$3+AM13)/2)^Konstanten!$H$6*(Konstanten!$C$6-(AM13-Massenstromrechnung!$X$3)^Konstanten!$I$6*Konstanten!$D$6)</f>
        <v>1732.7748076289718</v>
      </c>
      <c r="AP13" s="104">
        <f>IF(AN13="trocken",AO13,IF(Konstanten!$A$18*(Massenstromrechnung!$Y$6^Konstanten!$B$18*(Massenstromrechnung!$X$4-(Iteration!AM13+Massenstromrechnung!$X$3)/2)^Konstanten!$C$18*AO13^Konstanten!$D$18*((Massenstromrechnung!$X$3+Iteration!AM13)/2)^Konstanten!$E$18+(Iteration!AM13-Massenstromrechnung!$X$3)^Konstanten!$F$18)&lt;1,AO13,AO13*Konstanten!$A$18*(Massenstromrechnung!$Y$6^Konstanten!$B$18*(Massenstromrechnung!$X$4-(Iteration!AM13+Massenstromrechnung!$X$3)/2)^Konstanten!$C$18*AO13^Konstanten!$D$18*((Massenstromrechnung!$X$3+Iteration!AM13)/2)^Konstanten!$E$18+(Iteration!AM13-Massenstromrechnung!$X$3)^Konstanten!$F$18)))</f>
        <v>2553.1174926593148</v>
      </c>
      <c r="AQ13" s="101">
        <f>AP13/(Massenstromrechnung!$R23*Konstanten!$K$3/3.6)+Massenstromrechnung!$X$3</f>
        <v>13.219203527529992</v>
      </c>
      <c r="AR13" s="103" t="str">
        <f>IF(OR(Massenstromrechnung!$Y$6&lt;(AQ13*50+Massenstromrechnung!$X$3)/51,(Massenstromrechnung!$Y$6-(AQ13*51+Massenstromrechnung!$X$3)/51)&lt;0.7),"trocken","feucht")</f>
        <v>feucht</v>
      </c>
      <c r="AS13" s="104">
        <f>(Massenstromrechnung!$X$4-(Massenstromrechnung!$X$3+AQ13)/2)^Konstanten!$E$6*$AK13*$AL13^Konstanten!$F$6*(AQ13-Massenstromrechnung!$X$3)^Konstanten!$G$6*((Massenstromrechnung!$X$3+AQ13)/2)^Konstanten!$H$6*(Konstanten!$C$6-(AQ13-Massenstromrechnung!$X$3)^Konstanten!$I$6*Konstanten!$D$6)</f>
        <v>1447.6152738385308</v>
      </c>
      <c r="AT13" s="104">
        <f>IF(AR13="trocken",AS13,IF(Konstanten!$A$18*(Massenstromrechnung!$Y$6^Konstanten!$B$18*(Massenstromrechnung!$X$4-(Iteration!AQ13+Massenstromrechnung!$X$3)/2)^Konstanten!$C$18*AS13^Konstanten!$D$18*((Massenstromrechnung!$X$3+Iteration!AQ13)/2)^Konstanten!$E$18+(Iteration!AQ13-Massenstromrechnung!$X$3)^Konstanten!$F$18)&lt;1,AS13,AS13*Konstanten!$A$18*(Massenstromrechnung!$Y$6^Konstanten!$B$18*(Massenstromrechnung!$X$4-(Iteration!AQ13+Massenstromrechnung!$X$3)/2)^Konstanten!$C$18*AS13^Konstanten!$D$18*((Massenstromrechnung!$X$3+Iteration!AQ13)/2)^Konstanten!$E$18+(Iteration!AQ13-Massenstromrechnung!$X$3)^Konstanten!$F$18)))</f>
        <v>1886.2628003231532</v>
      </c>
      <c r="AU13" s="101">
        <f>AT13/(Massenstromrechnung!$R23*Konstanten!$K$3/3.6)+Massenstromrechnung!$X$3</f>
        <v>11.594795302349892</v>
      </c>
      <c r="AV13" s="103" t="str">
        <f>IF(OR(Massenstromrechnung!$Y$6&lt;(AU13*50+Massenstromrechnung!$X$3)/51,(Massenstromrechnung!$Y$6-(AU13*51+Massenstromrechnung!$X$3)/51)&lt;0.7),"trocken","feucht")</f>
        <v>feucht</v>
      </c>
      <c r="AW13" s="104">
        <f>(Massenstromrechnung!$X$4-(Massenstromrechnung!$X$3+AU13)/2)^Konstanten!$E$6*$AK13*$AL13^Konstanten!$F$6*(AU13-Massenstromrechnung!$X$3)^Konstanten!$G$6*((Massenstromrechnung!$X$3+AU13)/2)^Konstanten!$H$6*(Konstanten!$C$6-(AU13-Massenstromrechnung!$X$3)^Konstanten!$I$6*Konstanten!$D$6)</f>
        <v>1562.9511837633274</v>
      </c>
      <c r="AX13" s="104">
        <f>IF(AV13="trocken",AW13,IF(Konstanten!$A$18*(Massenstromrechnung!$Y$6^Konstanten!$B$18*(Massenstromrechnung!$X$4-(Iteration!AU13+Massenstromrechnung!$X$3)/2)^Konstanten!$C$18*AW13^Konstanten!$D$18*((Massenstromrechnung!$X$3+Iteration!AU13)/2)^Konstanten!$E$18+(Iteration!AU13-Massenstromrechnung!$X$3)^Konstanten!$F$18)&lt;1,AW13,AW13*Konstanten!$A$18*(Massenstromrechnung!$Y$6^Konstanten!$B$18*(Massenstromrechnung!$X$4-(Iteration!AU13+Massenstromrechnung!$X$3)/2)^Konstanten!$C$18*AW13^Konstanten!$D$18*((Massenstromrechnung!$X$3+Iteration!AU13)/2)^Konstanten!$E$18+(Iteration!AU13-Massenstromrechnung!$X$3)^Konstanten!$F$18)))</f>
        <v>2113.3557378779465</v>
      </c>
      <c r="AY13" s="101">
        <f>AX13/(Massenstromrechnung!$R23*Konstanten!$K$3/3.6)+Massenstromrechnung!$X$3</f>
        <v>12.147976737351865</v>
      </c>
      <c r="AZ13" s="103" t="str">
        <f>IF(OR(Massenstromrechnung!$Y$6&lt;(AY13*50+Massenstromrechnung!$X$3)/51,(Massenstromrechnung!$Y$6-(AY13*51+Massenstromrechnung!$X$3)/51)&lt;0.7),"trocken","feucht")</f>
        <v>feucht</v>
      </c>
      <c r="BA13" s="104">
        <f>(Massenstromrechnung!$X$4-(Massenstromrechnung!$X$3+AY13)/2)^Konstanten!$E$6*$AK13*$AL13^Konstanten!$F$6*(AY13-Massenstromrechnung!$X$3)^Konstanten!$G$6*((Massenstromrechnung!$X$3+AY13)/2)^Konstanten!$H$6*(Konstanten!$C$6-(AY13-Massenstromrechnung!$X$3)^Konstanten!$I$6*Konstanten!$D$6)</f>
        <v>1522.5478803443709</v>
      </c>
      <c r="BB13" s="104">
        <f>IF(AZ13="trocken",BA13,IF(Konstanten!$A$18*(Massenstromrechnung!$Y$6^Konstanten!$B$18*(Massenstromrechnung!$X$4-(Iteration!AY13+Massenstromrechnung!$X$3)/2)^Konstanten!$C$18*BA13^Konstanten!$D$18*((Massenstromrechnung!$X$3+Iteration!AY13)/2)^Konstanten!$E$18+(Iteration!AY13-Massenstromrechnung!$X$3)^Konstanten!$F$18)&lt;1,BA13,BA13*Konstanten!$A$18*(Massenstromrechnung!$Y$6^Konstanten!$B$18*(Massenstromrechnung!$X$4-(Iteration!AY13+Massenstromrechnung!$X$3)/2)^Konstanten!$C$18*BA13^Konstanten!$D$18*((Massenstromrechnung!$X$3+Iteration!AY13)/2)^Konstanten!$E$18+(Iteration!AY13-Massenstromrechnung!$X$3)^Konstanten!$F$18)))</f>
        <v>2031.1367523507083</v>
      </c>
      <c r="BC13" s="101">
        <f>BB13/(Massenstromrechnung!$R23*Konstanten!$K$3/3.6)+Massenstromrechnung!$X$3</f>
        <v>11.947697429293726</v>
      </c>
      <c r="BD13" s="103" t="str">
        <f>IF(OR(Massenstromrechnung!$Y$6&lt;(BC13*50+Massenstromrechnung!$X$3)/51,(Massenstromrechnung!$Y$6-(BC13*51+Massenstromrechnung!$X$3)/51)&lt;0.7),"trocken","feucht")</f>
        <v>feucht</v>
      </c>
      <c r="BE13" s="104">
        <f>(Massenstromrechnung!$X$4-(Massenstromrechnung!$X$3+BC13)/2)^Konstanten!$E$6*$AK13*$AL13^Konstanten!$F$6*(BC13-Massenstromrechnung!$X$3)^Konstanten!$G$6*((Massenstromrechnung!$X$3+BC13)/2)^Konstanten!$H$6*(Konstanten!$C$6-(BC13-Massenstromrechnung!$X$3)^Konstanten!$I$6*Konstanten!$D$6)</f>
        <v>1537.0559290637339</v>
      </c>
      <c r="BF13" s="104">
        <f>IF(BD13="trocken",BE13,IF(Konstanten!$A$18*(Massenstromrechnung!$Y$6^Konstanten!$B$18*(Massenstromrechnung!$X$4-(Iteration!BC13+Massenstromrechnung!$X$3)/2)^Konstanten!$C$18*BE13^Konstanten!$D$18*((Massenstromrechnung!$X$3+Iteration!BC13)/2)^Konstanten!$E$18+(Iteration!BC13-Massenstromrechnung!$X$3)^Konstanten!$F$18)&lt;1,BE13,BE13*Konstanten!$A$18*(Massenstromrechnung!$Y$6^Konstanten!$B$18*(Massenstromrechnung!$X$4-(Iteration!BC13+Massenstromrechnung!$X$3)/2)^Konstanten!$C$18*BE13^Konstanten!$D$18*((Massenstromrechnung!$X$3+Iteration!BC13)/2)^Konstanten!$E$18+(Iteration!BC13-Massenstromrechnung!$X$3)^Konstanten!$F$18)))</f>
        <v>2060.2871765611362</v>
      </c>
      <c r="BG13" s="101">
        <f>BF13/(Massenstromrechnung!$R23*Konstanten!$K$3/3.6)+Massenstromrechnung!$X$3</f>
        <v>12.018705685513716</v>
      </c>
      <c r="BH13" s="103" t="str">
        <f>IF(OR(Massenstromrechnung!$Y$6&lt;(BG13*50+Massenstromrechnung!$X$3)/51,(Massenstromrechnung!$Y$6-(BG13*51+Massenstromrechnung!$X$3)/51)&lt;0.7),"trocken","feucht")</f>
        <v>feucht</v>
      </c>
      <c r="BI13" s="104">
        <f>(Massenstromrechnung!$X$4-(Massenstromrechnung!$X$3+BG13)/2)^Konstanten!$E$6*$AK13*$AL13^Konstanten!$F$6*(BG13-Massenstromrechnung!$X$3)^Konstanten!$G$6*((Massenstromrechnung!$X$3+BG13)/2)^Konstanten!$H$6*(Konstanten!$C$6-(BG13-Massenstromrechnung!$X$3)^Konstanten!$I$6*Konstanten!$D$6)</f>
        <v>1531.8955526266059</v>
      </c>
      <c r="BJ13" s="104">
        <f>IF(BH13="trocken",BI13,IF(Konstanten!$A$18*(Massenstromrechnung!$Y$6^Konstanten!$B$18*(Massenstromrechnung!$X$4-(Iteration!BG13+Massenstromrechnung!$X$3)/2)^Konstanten!$C$18*BI13^Konstanten!$D$18*((Massenstromrechnung!$X$3+Iteration!BG13)/2)^Konstanten!$E$18+(Iteration!BG13-Massenstromrechnung!$X$3)^Konstanten!$F$18)&lt;1,BI13,BI13*Konstanten!$A$18*(Massenstromrechnung!$Y$6^Konstanten!$B$18*(Massenstromrechnung!$X$4-(Iteration!BG13+Massenstromrechnung!$X$3)/2)^Konstanten!$C$18*BI13^Konstanten!$D$18*((Massenstromrechnung!$X$3+Iteration!BG13)/2)^Konstanten!$E$18+(Iteration!BG13-Massenstromrechnung!$X$3)^Konstanten!$F$18)))</f>
        <v>2049.8731870233582</v>
      </c>
      <c r="BK13" s="101">
        <f>IF(BJ13/(Massenstromrechnung!$R23*Konstanten!$K$3/3.6)+Massenstromrechnung!$X$3-Massenstromrechnung!$X$3&lt;1.4,"RLT zu niedrig",BJ13/(Massenstromrechnung!$R23*Konstanten!$K$3/3.6)+Massenstromrechnung!$X$3)</f>
        <v>11.993337984788926</v>
      </c>
      <c r="BL13" s="103" t="str">
        <f>IF(BK13="RLT zu niedrig","RLT zu niedrig",IF(OR(Massenstromrechnung!$Y$6&lt;(BK13*50+Massenstromrechnung!$X$3)/51,(Massenstromrechnung!$Y$6-(BK13*51+Massenstromrechnung!$X$3)/51)&lt;0.7),"trocken","feucht"))</f>
        <v>feucht</v>
      </c>
      <c r="BM13" s="104">
        <f>IF(BK13="RLT zu niedrig","RLT zu niedrig",(Massenstromrechnung!$X$4-(Massenstromrechnung!$X$3+BK13)/2)^Konstanten!$E$6*$AK13*$AL13^Konstanten!$F$6*(BK13-Massenstromrechnung!$X$3)^Konstanten!$G$6*((Massenstromrechnung!$X$3+BK13)/2)^Konstanten!$H$6*(Konstanten!$C$6-(BK13-Massenstromrechnung!$X$3)^Konstanten!$I$6*Konstanten!$D$6))</f>
        <v>1533.7370418735256</v>
      </c>
      <c r="BN13" s="104">
        <f>IF(BK13="RLT zu niedrig","RLT zu niedrig",IF(BL13="trocken",BM13,IF(Konstanten!$A$18*(Massenstromrechnung!$Y$6^Konstanten!$B$18*(Massenstromrechnung!$X$4-(Iteration!BK13+Massenstromrechnung!$X$3)/2)^Konstanten!$C$18*BM13^Konstanten!$D$18*((Massenstromrechnung!$X$3+Iteration!BK13)/2)^Konstanten!$E$18+(Iteration!BK13-Massenstromrechnung!$X$3)^Konstanten!$F$18)&lt;1,BM13,BM13*Konstanten!$A$18*(Massenstromrechnung!$Y$6^Konstanten!$B$18*(Massenstromrechnung!$X$4-(Iteration!BK13+Massenstromrechnung!$X$3)/2)^Konstanten!$C$18*BM13^Konstanten!$D$18*((Massenstromrechnung!$X$3+Iteration!BK13)/2)^Konstanten!$E$18+(Iteration!BK13-Massenstromrechnung!$X$3)^Konstanten!$F$18))))</f>
        <v>2053.5835786816624</v>
      </c>
      <c r="BO13" s="101"/>
      <c r="BP13">
        <f t="shared" si="10"/>
        <v>1130</v>
      </c>
      <c r="BQ13">
        <f t="shared" si="10"/>
        <v>985</v>
      </c>
      <c r="BR13" s="103">
        <f>Massenstromrechnung!$X$3+2</f>
        <v>9</v>
      </c>
      <c r="BS13" s="103" t="str">
        <f>IF(OR(Massenstromrechnung!$Y$6&lt;(BR13*50+Massenstromrechnung!$X$3)/51,(Massenstromrechnung!$Y$6-(BR13*51+Massenstromrechnung!$X$3)/51)&lt;0.7),"trocken","feucht")</f>
        <v>feucht</v>
      </c>
      <c r="BT13" s="104">
        <f>(Massenstromrechnung!$X$4-(Massenstromrechnung!$X$3+BR13)/2)^Konstanten!$E$7*$AK13*$AL13^Konstanten!$F$7*(BR13-Massenstromrechnung!$X$3)^Konstanten!$G$7*((Massenstromrechnung!$X$3+BR13)/2)^Konstanten!$H$7*(Konstanten!$C$7-(BR13-Massenstromrechnung!$X$3)^Konstanten!$I$7*Konstanten!$D$7)</f>
        <v>1879.8687727708643</v>
      </c>
      <c r="BU13" s="104">
        <f>IF(BS13="trocken",BT13,IF(Konstanten!$A$18*(Massenstromrechnung!$Y$6^Konstanten!$B$18*(Massenstromrechnung!$X$4-(Iteration!BR13+Massenstromrechnung!$X$3)/2)^Konstanten!$C$18*BT13^Konstanten!$D$18*((Massenstromrechnung!$X$3+Iteration!BR13)/2)^Konstanten!$E$18+(Iteration!BR13-Massenstromrechnung!$X$3)^Konstanten!$F$18)&lt;1,BT13,BT13*Konstanten!$A$18*(Massenstromrechnung!$Y$6^Konstanten!$B$18*(Massenstromrechnung!$X$4-(Iteration!BR13+Massenstromrechnung!$X$3)/2)^Konstanten!$C$18*BT13^Konstanten!$D$18*((Massenstromrechnung!$X$3+Iteration!BR13)/2)^Konstanten!$E$18+(Iteration!BR13-Massenstromrechnung!$X$3)^Konstanten!$F$18)))</f>
        <v>2763.3309826144891</v>
      </c>
      <c r="BV13" s="101">
        <f>BU13/(Massenstromrechnung!$AA23*Konstanten!$K$3/3.6)+Massenstromrechnung!$X$3</f>
        <v>13.897196347523028</v>
      </c>
      <c r="BW13" s="103" t="str">
        <f>IF(OR(Massenstromrechnung!$Y$6&lt;(BV13*50+Massenstromrechnung!$X$3)/51,(Massenstromrechnung!$Y$6-(BV13*51+Massenstromrechnung!$X$3)/51)&lt;0.7),"trocken","feucht")</f>
        <v>feucht</v>
      </c>
      <c r="BX13" s="104">
        <f>(Massenstromrechnung!$X$4-(Massenstromrechnung!$X$3+BV13)/2)^Konstanten!$E$7*$AK13*$AL13^Konstanten!$F$7*(BV13-Massenstromrechnung!$X$3)^Konstanten!$G$7*((Massenstromrechnung!$X$3+BV13)/2)^Konstanten!$H$7*(Konstanten!$C$7-(BV13-Massenstromrechnung!$X$3)^Konstanten!$I$7*Konstanten!$D$7)</f>
        <v>1343.6288786242378</v>
      </c>
      <c r="BY13" s="104">
        <f>IF(BW13="trocken",BX13,IF(Konstanten!$A$18*(Massenstromrechnung!$Y$6^Konstanten!$B$18*(Massenstromrechnung!$X$4-(Iteration!BV13+Massenstromrechnung!$X$3)/2)^Konstanten!$C$18*BX13^Konstanten!$D$18*((Massenstromrechnung!$X$3+Iteration!BV13)/2)^Konstanten!$E$18+(Iteration!BV13-Massenstromrechnung!$X$3)^Konstanten!$F$18)&lt;1,BX13,BX13*Konstanten!$A$18*(Massenstromrechnung!$Y$6^Konstanten!$B$18*(Massenstromrechnung!$X$4-(Iteration!BV13+Massenstromrechnung!$X$3)/2)^Konstanten!$C$18*BX13^Konstanten!$D$18*((Massenstromrechnung!$X$3+Iteration!BV13)/2)^Konstanten!$E$18+(Iteration!BV13-Massenstromrechnung!$X$3)^Konstanten!$F$18)))</f>
        <v>1729.6483788863902</v>
      </c>
      <c r="BZ13" s="101">
        <f>BY13/(Massenstromrechnung!$AA23*Konstanten!$K$3/3.6)+Massenstromrechnung!$X$3</f>
        <v>11.317153665778823</v>
      </c>
      <c r="CA13" s="103" t="str">
        <f>IF(OR(Massenstromrechnung!$Y$6&lt;(BZ13*50+Massenstromrechnung!$X$3)/51,(Massenstromrechnung!$Y$6-(BZ13*51+Massenstromrechnung!$X$3)/51)&lt;0.7),"trocken","feucht")</f>
        <v>feucht</v>
      </c>
      <c r="CB13" s="104">
        <f>(Massenstromrechnung!$X$4-(Massenstromrechnung!$X$3+BZ13)/2)^Konstanten!$E$7*$AK13*$AL13^Konstanten!$F$7*(BZ13-Massenstromrechnung!$X$3)^Konstanten!$G$7*((Massenstromrechnung!$X$3+BZ13)/2)^Konstanten!$H$7*(Konstanten!$C$7-(BZ13-Massenstromrechnung!$X$3)^Konstanten!$I$7*Konstanten!$D$7)</f>
        <v>1560.5701538929152</v>
      </c>
      <c r="CC13" s="104">
        <f>IF(CA13="trocken",CB13,IF(Konstanten!$A$18*(Massenstromrechnung!$Y$6^Konstanten!$B$18*(Massenstromrechnung!$X$4-(Iteration!BZ13+Massenstromrechnung!$X$3)/2)^Konstanten!$C$18*CB13^Konstanten!$D$18*((Massenstromrechnung!$X$3+Iteration!BZ13)/2)^Konstanten!$E$18+(Iteration!BZ13-Massenstromrechnung!$X$3)^Konstanten!$F$18)&lt;1,CB13,CB13*Konstanten!$A$18*(Massenstromrechnung!$Y$6^Konstanten!$B$18*(Massenstromrechnung!$X$4-(Iteration!BZ13+Massenstromrechnung!$X$3)/2)^Konstanten!$C$18*CB13^Konstanten!$D$18*((Massenstromrechnung!$X$3+Iteration!BZ13)/2)^Konstanten!$E$18+(Iteration!BZ13-Massenstromrechnung!$X$3)^Konstanten!$F$18)))</f>
        <v>2126.2752675325232</v>
      </c>
      <c r="CD13" s="101">
        <f>CC13/(Massenstromrechnung!$AA23*Konstanten!$K$3/3.6)+Massenstromrechnung!$X$3</f>
        <v>12.307123215177956</v>
      </c>
      <c r="CE13" s="103" t="str">
        <f>IF(OR(Massenstromrechnung!$Y$6&lt;(CD13*50+Massenstromrechnung!$X$3)/51,(Massenstromrechnung!$Y$6-(CD13*51+Massenstromrechnung!$X$3)/51)&lt;0.7),"trocken","feucht")</f>
        <v>feucht</v>
      </c>
      <c r="CF13" s="104">
        <f>(Massenstromrechnung!$X$4-(Massenstromrechnung!$X$3+CD13)/2)^Konstanten!$E$7*$AK13*$AL13^Konstanten!$F$7*(CD13-Massenstromrechnung!$X$3)^Konstanten!$G$7*((Massenstromrechnung!$X$3+CD13)/2)^Konstanten!$H$7*(Konstanten!$C$7-(CD13-Massenstromrechnung!$X$3)^Konstanten!$I$7*Konstanten!$D$7)</f>
        <v>1468.1108390099275</v>
      </c>
      <c r="CG13" s="104">
        <f>IF(CE13="trocken",CF13,IF(Konstanten!$A$18*(Massenstromrechnung!$Y$6^Konstanten!$B$18*(Massenstromrechnung!$X$4-(Iteration!CD13+Massenstromrechnung!$X$3)/2)^Konstanten!$C$18*CF13^Konstanten!$D$18*((Massenstromrechnung!$X$3+Iteration!CD13)/2)^Konstanten!$E$18+(Iteration!CD13-Massenstromrechnung!$X$3)^Konstanten!$F$18)&lt;1,CF13,CF13*Konstanten!$A$18*(Massenstromrechnung!$Y$6^Konstanten!$B$18*(Massenstromrechnung!$X$4-(Iteration!CD13+Massenstromrechnung!$X$3)/2)^Konstanten!$C$18*CF13^Konstanten!$D$18*((Massenstromrechnung!$X$3+Iteration!CD13)/2)^Konstanten!$E$18+(Iteration!CD13-Massenstromrechnung!$X$3)^Konstanten!$F$18)))</f>
        <v>1952.9661525612162</v>
      </c>
      <c r="CH13" s="101">
        <f>CG13/(Massenstromrechnung!$AA23*Konstanten!$K$3/3.6)+Massenstromrechnung!$X$3</f>
        <v>11.8745485426928</v>
      </c>
      <c r="CI13" s="103" t="str">
        <f>IF(OR(Massenstromrechnung!$Y$6&lt;(CH13*50+Massenstromrechnung!$X$3)/51,(Massenstromrechnung!$Y$6-(CH13*51+Massenstromrechnung!$X$3)/51)&lt;0.7),"trocken","feucht")</f>
        <v>feucht</v>
      </c>
      <c r="CJ13" s="104">
        <f>(Massenstromrechnung!$X$4-(Massenstromrechnung!$X$3+CH13)/2)^Konstanten!$E$7*$AK13*$AL13^Konstanten!$F$7*(CH13-Massenstromrechnung!$X$3)^Konstanten!$G$7*((Massenstromrechnung!$X$3+CH13)/2)^Konstanten!$H$7*(Konstanten!$C$7-(CH13-Massenstromrechnung!$X$3)^Konstanten!$I$7*Konstanten!$D$7)</f>
        <v>1506.7034001213231</v>
      </c>
      <c r="CK13" s="104">
        <f>IF(CI13="trocken",CJ13,IF(Konstanten!$A$18*(Massenstromrechnung!$Y$6^Konstanten!$B$18*(Massenstromrechnung!$X$4-(Iteration!CH13+Massenstromrechnung!$X$3)/2)^Konstanten!$C$18*CJ13^Konstanten!$D$18*((Massenstromrechnung!$X$3+Iteration!CH13)/2)^Konstanten!$E$18+(Iteration!CH13-Massenstromrechnung!$X$3)^Konstanten!$F$18)&lt;1,CJ13,CJ13*Konstanten!$A$18*(Massenstromrechnung!$Y$6^Konstanten!$B$18*(Massenstromrechnung!$X$4-(Iteration!CH13+Massenstromrechnung!$X$3)/2)^Konstanten!$C$18*CJ13^Konstanten!$D$18*((Massenstromrechnung!$X$3+Iteration!CH13)/2)^Konstanten!$E$18+(Iteration!CH13-Massenstromrechnung!$X$3)^Konstanten!$F$18)))</f>
        <v>2024.5959081183491</v>
      </c>
      <c r="CL13" s="101">
        <f>CK13/(Massenstromrechnung!$AA23*Konstanten!$K$3/3.6)+Massenstromrechnung!$X$3</f>
        <v>12.053334396255369</v>
      </c>
      <c r="CM13" s="103" t="str">
        <f>IF(OR(Massenstromrechnung!$Y$6&lt;(CL13*50+Massenstromrechnung!$X$3)/51,(Massenstromrechnung!$Y$6-(CL13*51+Massenstromrechnung!$X$3)/51)&lt;0.7),"trocken","feucht")</f>
        <v>feucht</v>
      </c>
      <c r="CN13" s="104">
        <f>(Massenstromrechnung!$X$4-(Massenstromrechnung!$X$3+CL13)/2)^Konstanten!$E$7*$AK13*$AL13^Konstanten!$F$7*(CL13-Massenstromrechnung!$X$3)^Konstanten!$G$7*((Massenstromrechnung!$X$3+CL13)/2)^Konstanten!$H$7*(Konstanten!$C$7-(CL13-Massenstromrechnung!$X$3)^Konstanten!$I$7*Konstanten!$D$7)</f>
        <v>1490.4473661862737</v>
      </c>
      <c r="CO13" s="104">
        <f>IF(CM13="trocken",CN13,IF(Konstanten!$A$18*(Massenstromrechnung!$Y$6^Konstanten!$B$18*(Massenstromrechnung!$X$4-(Iteration!CL13+Massenstromrechnung!$X$3)/2)^Konstanten!$C$18*CN13^Konstanten!$D$18*((Massenstromrechnung!$X$3+Iteration!CL13)/2)^Konstanten!$E$18+(Iteration!CL13-Massenstromrechnung!$X$3)^Konstanten!$F$18)&lt;1,CN13,CN13*Konstanten!$A$18*(Massenstromrechnung!$Y$6^Konstanten!$B$18*(Massenstromrechnung!$X$4-(Iteration!CL13+Massenstromrechnung!$X$3)/2)^Konstanten!$C$18*CN13^Konstanten!$D$18*((Massenstromrechnung!$X$3+Iteration!CL13)/2)^Konstanten!$E$18+(Iteration!CL13-Massenstromrechnung!$X$3)^Konstanten!$F$18)))</f>
        <v>1994.2953540267072</v>
      </c>
      <c r="CP13" s="101">
        <f>IF(CO13/(Massenstromrechnung!$AA23*Konstanten!$K$3/3.6)+Massenstromrechnung!$X$3-Massenstromrechnung!$X$3&lt;1.4,"RLT zu niedrig",CO13/(Massenstromrechnung!$AA23*Konstanten!$K$3/3.6)+Massenstromrechnung!$X$3)</f>
        <v>11.977705066173794</v>
      </c>
      <c r="CQ13" s="103" t="str">
        <f>IF(CP13="RLT zu niedrig","RLT zu niedrig",IF(OR(Massenstromrechnung!$Y$6&lt;(CP13*50+Massenstromrechnung!$X$3)/51,(Massenstromrechnung!$Y$6-(CP13*51+Massenstromrechnung!$X$3)/51)&lt;0.7),"trocken","feucht"))</f>
        <v>feucht</v>
      </c>
      <c r="CR13" s="104">
        <f>IF(CP13="RLT zu niedrig","RLT zu niedrig",(Massenstromrechnung!$X$4-(Massenstromrechnung!$X$3+CP13)/2)^Konstanten!$E$7*$AK13*$AL13^Konstanten!$F$7*(CP13-Massenstromrechnung!$X$3)^Konstanten!$G$7*((Massenstromrechnung!$X$3+CP13)/2)^Konstanten!$H$7*(Konstanten!$C$7-(CP13-Massenstromrechnung!$X$3)^Konstanten!$I$7*Konstanten!$D$7))</f>
        <v>1497.269008749118</v>
      </c>
      <c r="CS13" s="104">
        <f>IF(CP13="RLT zu niedrig","RLT zu niedrig",IF(CQ13="trocken",CR13,IF(Konstanten!$A$18*(Massenstromrechnung!$Y$6^Konstanten!$B$18*(Massenstromrechnung!$X$4-(Iteration!CP13+Massenstromrechnung!$X$3)/2)^Konstanten!$C$18*CR13^Konstanten!$D$18*((Massenstromrechnung!$X$3+Iteration!CP13)/2)^Konstanten!$E$18+(Iteration!CP13-Massenstromrechnung!$X$3)^Konstanten!$F$18)&lt;1,CR13,CR13*Konstanten!$A$18*(Massenstromrechnung!$Y$6^Konstanten!$B$18*(Massenstromrechnung!$X$4-(Iteration!CP13+Massenstromrechnung!$X$3)/2)^Konstanten!$C$18*CR13^Konstanten!$D$18*((Massenstromrechnung!$X$3+Iteration!CP13)/2)^Konstanten!$E$18+(Iteration!CP13-Massenstromrechnung!$X$3)^Konstanten!$F$18))))</f>
        <v>2006.9881676491386</v>
      </c>
    </row>
    <row r="14" spans="1:97" x14ac:dyDescent="0.3">
      <c r="A14">
        <f>Massenstromrechnung!B24</f>
        <v>1130</v>
      </c>
      <c r="B14" s="27">
        <v>735</v>
      </c>
      <c r="C14" s="103">
        <f>IF(Massenstromrechnung!$K$3-10&lt;=Massenstromrechnung!$K$4,Massenstromrechnung!$K$3-0.75*(Massenstromrechnung!$K$3-Massenstromrechnung!$K$4),Massenstromrechnung!$K$3-10)</f>
        <v>65</v>
      </c>
      <c r="D14" s="103">
        <f>-1*((Massenstromrechnung!$K$3+C14)/2-Massenstromrechnung!$K$4)^Konstanten!$E$4*Massenstromrechnung!$B24*Massenstromrechnung!$C24^Konstanten!$F$4*(Massenstromrechnung!$K$3-C14)^Konstanten!$G$4*((Massenstromrechnung!$K$3+C14)/2)^Konstanten!$H$4*(Konstanten!$C$4-((Massenstromrechnung!$K$3-C14)^Konstanten!$I$4*Konstanten!$D$4))/(Massenstromrechnung!$F24*Konstanten!$K$3/3.6)+Massenstromrechnung!$K$3</f>
        <v>65</v>
      </c>
      <c r="E14" s="103">
        <f t="shared" si="6"/>
        <v>65</v>
      </c>
      <c r="F14" s="103">
        <f>-1*((Massenstromrechnung!$K$3+E14)/2-Massenstromrechnung!$K$4)^Konstanten!$E$4*Massenstromrechnung!$B24*Massenstromrechnung!$C24^Konstanten!$F$4*(Massenstromrechnung!$K$3-E14)^Konstanten!$G$4*((Massenstromrechnung!$K$3+E14)/2)^Konstanten!$H$4*(Konstanten!$C$4-((Massenstromrechnung!$K$3-E14)^Konstanten!$I$4*Konstanten!$D$4))/(Massenstromrechnung!$F24*Konstanten!$K$3/3.6)+Massenstromrechnung!$K$3</f>
        <v>65</v>
      </c>
      <c r="G14" s="103">
        <f t="shared" si="0"/>
        <v>65</v>
      </c>
      <c r="H14" s="103">
        <f>-1*((Massenstromrechnung!$K$3+G14)/2-Massenstromrechnung!$K$4)^Konstanten!$E$4*Massenstromrechnung!$B24*Massenstromrechnung!$C24^Konstanten!$F$4*(Massenstromrechnung!$K$3-G14)^Konstanten!$G$4*((Massenstromrechnung!$K$3+G14)/2)^Konstanten!$H$4*(Konstanten!$C$4-((Massenstromrechnung!$K$3-G14)^Konstanten!$I$4*Konstanten!$D$4))/(Massenstromrechnung!$F24*Konstanten!$K$3/3.6)+Massenstromrechnung!$K$3</f>
        <v>65</v>
      </c>
      <c r="I14" s="103">
        <f t="shared" si="1"/>
        <v>65</v>
      </c>
      <c r="J14" s="103">
        <f>-1*((Massenstromrechnung!$K$3+I14)/2-Massenstromrechnung!$K$4)^Konstanten!$E$4*Massenstromrechnung!$B24*Massenstromrechnung!$C24^Konstanten!$F$4*(Massenstromrechnung!$K$3-I14)^Konstanten!$G$4*((Massenstromrechnung!$K$3+I14)/2)^Konstanten!$H$4*(Konstanten!$C$4-((Massenstromrechnung!$K$3-I14)^Konstanten!$I$4*Konstanten!$D$4))/(Massenstromrechnung!$F24*Konstanten!$K$3/3.6)+Massenstromrechnung!$K$3</f>
        <v>65</v>
      </c>
      <c r="K14" s="103">
        <f t="shared" si="2"/>
        <v>65</v>
      </c>
      <c r="L14" s="103">
        <f>-1*((Massenstromrechnung!$K$3+K14)/2-Massenstromrechnung!$K$4)^Konstanten!$E$4*Massenstromrechnung!$B24*Massenstromrechnung!$C24^Konstanten!$F$4*(Massenstromrechnung!$K$3-K14)^Konstanten!$G$4*((Massenstromrechnung!$K$3+K14)/2)^Konstanten!$H$4*(Konstanten!$C$4-((Massenstromrechnung!$K$3-K14)^Konstanten!$I$4*Konstanten!$D$4))/(Massenstromrechnung!$F24*Konstanten!$K$3/3.6)+Massenstromrechnung!$K$3</f>
        <v>65</v>
      </c>
      <c r="N14">
        <f>'Katalogdaten M3G045'!B28</f>
        <v>1130</v>
      </c>
      <c r="O14" s="27">
        <v>735</v>
      </c>
      <c r="P14" s="103">
        <f>IF(Massenstromrechnung!$K$3-10&lt;=Massenstromrechnung!$K$4,Massenstromrechnung!$K$3-0.75*(Massenstromrechnung!$K$3-Massenstromrechnung!$K$4),Massenstromrechnung!$K$3-10)</f>
        <v>65</v>
      </c>
      <c r="Q14" s="103" t="e">
        <f>-1*((Massenstromrechnung!$K$3+P14)/2-Massenstromrechnung!$K$4)^Konstanten!$E$4*Massenstromrechnung!$B24*Massenstromrechnung!$C24^Konstanten!$F$4*(Massenstromrechnung!$K$3-P14)^Konstanten!$G$4*((Massenstromrechnung!$K$3+P14)/2)^Konstanten!$H$4*(Konstanten!$C$4-((Massenstromrechnung!$K$3-P14)^Konstanten!$I$4*Konstanten!$D$4))/(Massenstromrechnung!#REF!*Konstanten!$K$3/3.6)+Massenstromrechnung!$K$3</f>
        <v>#REF!</v>
      </c>
      <c r="R14" s="103" t="e">
        <f t="shared" si="7"/>
        <v>#REF!</v>
      </c>
      <c r="S14" s="103" t="e">
        <f>-1*((Massenstromrechnung!$K$3+R14)/2-Massenstromrechnung!$K$4)^Konstanten!$E$4*Massenstromrechnung!$B24*Massenstromrechnung!$C24^Konstanten!$F$4*(Massenstromrechnung!$K$3-R14)^Konstanten!$G$4*((Massenstromrechnung!$K$3+R14)/2)^Konstanten!$H$4*(Konstanten!$C$4-((Massenstromrechnung!$K$3-R14)^Konstanten!$I$4*Konstanten!$D$4))/(Massenstromrechnung!#REF!*Konstanten!$K$3/3.6)+Massenstromrechnung!$K$3</f>
        <v>#REF!</v>
      </c>
      <c r="T14" s="103" t="e">
        <f t="shared" si="3"/>
        <v>#REF!</v>
      </c>
      <c r="U14" s="103" t="e">
        <f>-1*((Massenstromrechnung!$K$3+T14)/2-Massenstromrechnung!$K$4)^Konstanten!$E$4*Massenstromrechnung!$B24*Massenstromrechnung!$C24^Konstanten!$F$4*(Massenstromrechnung!$K$3-T14)^Konstanten!$G$4*((Massenstromrechnung!$K$3+T14)/2)^Konstanten!$H$4*(Konstanten!$C$4-((Massenstromrechnung!$K$3-T14)^Konstanten!$I$4*Konstanten!$D$4))/(Massenstromrechnung!#REF!*Konstanten!$K$3/3.6)+Massenstromrechnung!$K$3</f>
        <v>#REF!</v>
      </c>
      <c r="V14" s="103" t="e">
        <f t="shared" si="4"/>
        <v>#REF!</v>
      </c>
      <c r="W14" s="103" t="e">
        <f>-1*((Massenstromrechnung!$K$3+V14)/2-Massenstromrechnung!$K$4)^Konstanten!$E$4*Massenstromrechnung!$B24*Massenstromrechnung!$C24^Konstanten!$F$4*(Massenstromrechnung!$K$3-V14)^Konstanten!$G$4*((Massenstromrechnung!$K$3+V14)/2)^Konstanten!$H$4*(Konstanten!$C$4-((Massenstromrechnung!$K$3-V14)^Konstanten!$I$4*Konstanten!$D$4))/(Massenstromrechnung!#REF!*Konstanten!$K$3/3.6)+Massenstromrechnung!$K$3</f>
        <v>#REF!</v>
      </c>
      <c r="X14" s="103" t="e">
        <f t="shared" si="5"/>
        <v>#REF!</v>
      </c>
      <c r="Y14" s="103" t="e">
        <f>-1*((Massenstromrechnung!$K$3+X14)/2-Massenstromrechnung!$K$4)^Konstanten!$E$4*Massenstromrechnung!$B24*Massenstromrechnung!$C24^Konstanten!$F$4*(Massenstromrechnung!$K$3-X14)^Konstanten!$G$4*((Massenstromrechnung!$K$3+X14)/2)^Konstanten!$H$4*(Konstanten!$C$4-((Massenstromrechnung!$K$3-X14)^Konstanten!$I$4*Konstanten!$D$4))/(Massenstromrechnung!#REF!*Konstanten!$K$3/3.6)+Massenstromrechnung!$K$3</f>
        <v>#REF!</v>
      </c>
      <c r="AA14">
        <f t="shared" si="8"/>
        <v>1130</v>
      </c>
      <c r="AB14">
        <f t="shared" si="8"/>
        <v>735</v>
      </c>
      <c r="AC14" s="103">
        <f>IF(Massenstromrechnung!$K$3-10&lt;=Massenstromrechnung!$K$4,Massenstromrechnung!$K$3-0.75*(Massenstromrechnung!$K$3-Massenstromrechnung!$K$4),Massenstromrechnung!$K$3-10)</f>
        <v>65</v>
      </c>
      <c r="AD14" s="103">
        <f>-1*((Massenstromrechnung!$K$3+AC14)/2-Massenstromrechnung!$K$4)^Konstanten!$E$5*$AA14*$AB14^Konstanten!$F$5*(Massenstromrechnung!$K$3-AC14)^Konstanten!$G$5*((Massenstromrechnung!$K$3+AC14)/2)^Konstanten!$H$5*(Konstanten!$C$5-((Massenstromrechnung!$K$3-AC14)^Konstanten!$I$5*Konstanten!$D$5))/(Massenstromrechnung!$L24*Konstanten!$K$3/3.6)+Massenstromrechnung!$K$3</f>
        <v>65</v>
      </c>
      <c r="AE14" s="103">
        <f>-1*((Massenstromrechnung!$K$3+AD14)/2-Massenstromrechnung!$K$4)^Konstanten!$E$5*$AA14*$AB14^Konstanten!$F$5*(Massenstromrechnung!$K$3-AD14)^Konstanten!$G$5*((Massenstromrechnung!$K$3+AD14)/2)^Konstanten!$H$5*(Konstanten!$C$5-((Massenstromrechnung!$K$3-AD14)^Konstanten!$I$5*Konstanten!$D$5))/(Massenstromrechnung!$L24*Konstanten!$K$3/3.6)+Massenstromrechnung!$K$3</f>
        <v>65</v>
      </c>
      <c r="AF14" s="103">
        <f>-1*((Massenstromrechnung!$K$3+AE14)/2-Massenstromrechnung!$K$4)^Konstanten!$E$5*$AA14*$AB14^Konstanten!$F$5*(Massenstromrechnung!$K$3-AE14)^Konstanten!$G$5*((Massenstromrechnung!$K$3+AE14)/2)^Konstanten!$H$5*(Konstanten!$C$5-((Massenstromrechnung!$K$3-AE14)^Konstanten!$I$5*Konstanten!$D$5))/(Massenstromrechnung!$L24*Konstanten!$K$3/3.6)+Massenstromrechnung!$K$3</f>
        <v>65</v>
      </c>
      <c r="AG14" s="103">
        <f>-1*((Massenstromrechnung!$K$3+AF14)/2-Massenstromrechnung!$K$4)^Konstanten!$E$5*$AA14*$AB14^Konstanten!$F$5*(Massenstromrechnung!$K$3-AF14)^Konstanten!$G$5*((Massenstromrechnung!$K$3+AF14)/2)^Konstanten!$H$5*(Konstanten!$C$5-((Massenstromrechnung!$K$3-AF14)^Konstanten!$I$5*Konstanten!$D$5))/(Massenstromrechnung!$L24*Konstanten!$K$3/3.6)+Massenstromrechnung!$K$3</f>
        <v>65</v>
      </c>
      <c r="AH14" s="103">
        <f>-1*((Massenstromrechnung!$K$3+AG14)/2-Massenstromrechnung!$K$4)^Konstanten!$E$5*$AA14*$AB14^Konstanten!$F$5*(Massenstromrechnung!$K$3-AG14)^Konstanten!$G$5*((Massenstromrechnung!$K$3+AG14)/2)^Konstanten!$H$5*(Konstanten!$C$5-((Massenstromrechnung!$K$3-AG14)^Konstanten!$I$5*Konstanten!$D$5))/(Massenstromrechnung!$L24*Konstanten!$K$3/3.6)+Massenstromrechnung!$K$3</f>
        <v>65</v>
      </c>
      <c r="AI14" s="103">
        <f>-1*((Massenstromrechnung!$K$3+AH14)/2-Massenstromrechnung!$K$4)^Konstanten!$E$5*$AA14*$AB14^Konstanten!$F$5*(Massenstromrechnung!$K$3-AH14)^Konstanten!$G$5*((Massenstromrechnung!$K$3+AH14)/2)^Konstanten!$H$5*(Konstanten!$C$5-((Massenstromrechnung!$K$3-AH14)^Konstanten!$I$5*Konstanten!$D$5))/(Massenstromrechnung!$L24*Konstanten!$K$3/3.6)+Massenstromrechnung!$K$3</f>
        <v>65</v>
      </c>
      <c r="AK14">
        <f t="shared" si="9"/>
        <v>1130</v>
      </c>
      <c r="AL14">
        <f t="shared" si="9"/>
        <v>735</v>
      </c>
      <c r="AM14" s="103">
        <f>Massenstromrechnung!$X$3+2</f>
        <v>9</v>
      </c>
      <c r="AN14" s="103" t="str">
        <f>IF(OR(Massenstromrechnung!$Y$6&lt;(AM14*50+Massenstromrechnung!$X$3)/51,(Massenstromrechnung!$Y$6-(AM14*51+Massenstromrechnung!$X$3)/51)&lt;0.7),"trocken","feucht")</f>
        <v>feucht</v>
      </c>
      <c r="AO14" s="104">
        <f>(Massenstromrechnung!$X$4-(Massenstromrechnung!$X$3+AM14)/2)^Konstanten!$E$6*$AK14*$AL14^Konstanten!$F$6*(AM14-Massenstromrechnung!$X$3)^Konstanten!$G$6*((Massenstromrechnung!$X$3+AM14)/2)^Konstanten!$H$6*(Konstanten!$C$6-(AM14-Massenstromrechnung!$X$3)^Konstanten!$I$6*Konstanten!$D$6)</f>
        <v>1129.4423051081142</v>
      </c>
      <c r="AP14" s="104">
        <f>IF(AN14="trocken",AO14,IF(Konstanten!$A$18*(Massenstromrechnung!$Y$6^Konstanten!$B$18*(Massenstromrechnung!$X$4-(Iteration!AM14+Massenstromrechnung!$X$3)/2)^Konstanten!$C$18*AO14^Konstanten!$D$18*((Massenstromrechnung!$X$3+Iteration!AM14)/2)^Konstanten!$E$18+(Iteration!AM14-Massenstromrechnung!$X$3)^Konstanten!$F$18)&lt;1,AO14,AO14*Konstanten!$A$18*(Massenstromrechnung!$Y$6^Konstanten!$B$18*(Massenstromrechnung!$X$4-(Iteration!AM14+Massenstromrechnung!$X$3)/2)^Konstanten!$C$18*AO14^Konstanten!$D$18*((Massenstromrechnung!$X$3+Iteration!AM14)/2)^Konstanten!$E$18+(Iteration!AM14-Massenstromrechnung!$X$3)^Konstanten!$F$18)))</f>
        <v>1684.8877645280604</v>
      </c>
      <c r="AQ14" s="101">
        <f>AP14/(Massenstromrechnung!$R24*Konstanten!$K$3/3.6)+Massenstromrechnung!$X$3</f>
        <v>13.216980339096271</v>
      </c>
      <c r="AR14" s="103" t="str">
        <f>IF(OR(Massenstromrechnung!$Y$6&lt;(AQ14*50+Massenstromrechnung!$X$3)/51,(Massenstromrechnung!$Y$6-(AQ14*51+Massenstromrechnung!$X$3)/51)&lt;0.7),"trocken","feucht")</f>
        <v>feucht</v>
      </c>
      <c r="AS14" s="104">
        <f>(Massenstromrechnung!$X$4-(Massenstromrechnung!$X$3+AQ14)/2)^Konstanten!$E$6*$AK14*$AL14^Konstanten!$F$6*(AQ14-Massenstromrechnung!$X$3)^Konstanten!$G$6*((Massenstromrechnung!$X$3+AQ14)/2)^Konstanten!$H$6*(Konstanten!$C$6-(AQ14-Massenstromrechnung!$X$3)^Konstanten!$I$6*Konstanten!$D$6)</f>
        <v>943.67030343887973</v>
      </c>
      <c r="AT14" s="104">
        <f>IF(AR14="trocken",AS14,IF(Konstanten!$A$18*(Massenstromrechnung!$Y$6^Konstanten!$B$18*(Massenstromrechnung!$X$4-(Iteration!AQ14+Massenstromrechnung!$X$3)/2)^Konstanten!$C$18*AS14^Konstanten!$D$18*((Massenstromrechnung!$X$3+Iteration!AQ14)/2)^Konstanten!$E$18+(Iteration!AQ14-Massenstromrechnung!$X$3)^Konstanten!$F$18)&lt;1,AS14,AS14*Konstanten!$A$18*(Massenstromrechnung!$Y$6^Konstanten!$B$18*(Massenstromrechnung!$X$4-(Iteration!AQ14+Massenstromrechnung!$X$3)/2)^Konstanten!$C$18*AS14^Konstanten!$D$18*((Massenstromrechnung!$X$3+Iteration!AQ14)/2)^Konstanten!$E$18+(Iteration!AQ14-Massenstromrechnung!$X$3)^Konstanten!$F$18)))</f>
        <v>1245.5137643498185</v>
      </c>
      <c r="AU14" s="101">
        <f>AT14/(Massenstromrechnung!$R24*Konstanten!$K$3/3.6)+Massenstromrechnung!$X$3</f>
        <v>11.595756909188266</v>
      </c>
      <c r="AV14" s="103" t="str">
        <f>IF(OR(Massenstromrechnung!$Y$6&lt;(AU14*50+Massenstromrechnung!$X$3)/51,(Massenstromrechnung!$Y$6-(AU14*51+Massenstromrechnung!$X$3)/51)&lt;0.7),"trocken","feucht")</f>
        <v>feucht</v>
      </c>
      <c r="AW14" s="104">
        <f>(Massenstromrechnung!$X$4-(Massenstromrechnung!$X$3+AU14)/2)^Konstanten!$E$6*$AK14*$AL14^Konstanten!$F$6*(AU14-Massenstromrechnung!$X$3)^Konstanten!$G$6*((Massenstromrechnung!$X$3+AU14)/2)^Konstanten!$H$6*(Konstanten!$C$6-(AU14-Massenstromrechnung!$X$3)^Konstanten!$I$6*Konstanten!$D$6)</f>
        <v>1018.70300963765</v>
      </c>
      <c r="AX14" s="104">
        <f>IF(AV14="trocken",AW14,IF(Konstanten!$A$18*(Massenstromrechnung!$Y$6^Konstanten!$B$18*(Massenstromrechnung!$X$4-(Iteration!AU14+Massenstromrechnung!$X$3)/2)^Konstanten!$C$18*AW14^Konstanten!$D$18*((Massenstromrechnung!$X$3+Iteration!AU14)/2)^Konstanten!$E$18+(Iteration!AU14-Massenstromrechnung!$X$3)^Konstanten!$F$18)&lt;1,AW14,AW14*Konstanten!$A$18*(Massenstromrechnung!$Y$6^Konstanten!$B$18*(Massenstromrechnung!$X$4-(Iteration!AU14+Massenstromrechnung!$X$3)/2)^Konstanten!$C$18*AW14^Konstanten!$D$18*((Massenstromrechnung!$X$3+Iteration!AU14)/2)^Konstanten!$E$18+(Iteration!AU14-Massenstromrechnung!$X$3)^Konstanten!$F$18)))</f>
        <v>1395.0403835235702</v>
      </c>
      <c r="AY14" s="101">
        <f>AX14/(Massenstromrechnung!$R24*Konstanten!$K$3/3.6)+Massenstromrechnung!$X$3</f>
        <v>12.147487458335636</v>
      </c>
      <c r="AZ14" s="103" t="str">
        <f>IF(OR(Massenstromrechnung!$Y$6&lt;(AY14*50+Massenstromrechnung!$X$3)/51,(Massenstromrechnung!$Y$6-(AY14*51+Massenstromrechnung!$X$3)/51)&lt;0.7),"trocken","feucht")</f>
        <v>feucht</v>
      </c>
      <c r="BA14" s="104">
        <f>(Massenstromrechnung!$X$4-(Massenstromrechnung!$X$3+AY14)/2)^Konstanten!$E$6*$AK14*$AL14^Konstanten!$F$6*(AY14-Massenstromrechnung!$X$3)^Konstanten!$G$6*((Massenstromrechnung!$X$3+AY14)/2)^Konstanten!$H$6*(Konstanten!$C$6-(AY14-Massenstromrechnung!$X$3)^Konstanten!$I$6*Konstanten!$D$6)</f>
        <v>992.43699077149074</v>
      </c>
      <c r="BB14" s="104">
        <f>IF(AZ14="trocken",BA14,IF(Konstanten!$A$18*(Massenstromrechnung!$Y$6^Konstanten!$B$18*(Massenstromrechnung!$X$4-(Iteration!AY14+Massenstromrechnung!$X$3)/2)^Konstanten!$C$18*BA14^Konstanten!$D$18*((Massenstromrechnung!$X$3+Iteration!AY14)/2)^Konstanten!$E$18+(Iteration!AY14-Massenstromrechnung!$X$3)^Konstanten!$F$18)&lt;1,BA14,BA14*Konstanten!$A$18*(Massenstromrechnung!$Y$6^Konstanten!$B$18*(Massenstromrechnung!$X$4-(Iteration!AY14+Massenstromrechnung!$X$3)/2)^Konstanten!$C$18*BA14^Konstanten!$D$18*((Massenstromrechnung!$X$3+Iteration!AY14)/2)^Konstanten!$E$18+(Iteration!AY14-Massenstromrechnung!$X$3)^Konstanten!$F$18)))</f>
        <v>1340.952233631135</v>
      </c>
      <c r="BC14" s="101">
        <f>BB14/(Massenstromrechnung!$R24*Konstanten!$K$3/3.6)+Massenstromrechnung!$X$3</f>
        <v>11.947910387661405</v>
      </c>
      <c r="BD14" s="103" t="str">
        <f>IF(OR(Massenstromrechnung!$Y$6&lt;(BC14*50+Massenstromrechnung!$X$3)/51,(Massenstromrechnung!$Y$6-(BC14*51+Massenstromrechnung!$X$3)/51)&lt;0.7),"trocken","feucht")</f>
        <v>feucht</v>
      </c>
      <c r="BE14" s="104">
        <f>(Massenstromrechnung!$X$4-(Massenstromrechnung!$X$3+BC14)/2)^Konstanten!$E$6*$AK14*$AL14^Konstanten!$F$6*(BC14-Massenstromrechnung!$X$3)^Konstanten!$G$6*((Massenstromrechnung!$X$3+BC14)/2)^Konstanten!$H$6*(Konstanten!$C$6-(BC14-Massenstromrechnung!$X$3)^Konstanten!$I$6*Konstanten!$D$6)</f>
        <v>1001.8604115910425</v>
      </c>
      <c r="BF14" s="104">
        <f>IF(BD14="trocken",BE14,IF(Konstanten!$A$18*(Massenstromrechnung!$Y$6^Konstanten!$B$18*(Massenstromrechnung!$X$4-(Iteration!BC14+Massenstromrechnung!$X$3)/2)^Konstanten!$C$18*BE14^Konstanten!$D$18*((Massenstromrechnung!$X$3+Iteration!BC14)/2)^Konstanten!$E$18+(Iteration!BC14-Massenstromrechnung!$X$3)^Konstanten!$F$18)&lt;1,BE14,BE14*Konstanten!$A$18*(Massenstromrechnung!$Y$6^Konstanten!$B$18*(Massenstromrechnung!$X$4-(Iteration!BC14+Massenstromrechnung!$X$3)/2)^Konstanten!$C$18*BE14^Konstanten!$D$18*((Massenstromrechnung!$X$3+Iteration!BC14)/2)^Konstanten!$E$18+(Iteration!BC14-Massenstromrechnung!$X$3)^Konstanten!$F$18)))</f>
        <v>1360.1138734719532</v>
      </c>
      <c r="BG14" s="101">
        <f>BF14/(Massenstromrechnung!$R24*Konstanten!$K$3/3.6)+Massenstromrechnung!$X$3</f>
        <v>12.018613932825186</v>
      </c>
      <c r="BH14" s="103" t="str">
        <f>IF(OR(Massenstromrechnung!$Y$6&lt;(BG14*50+Massenstromrechnung!$X$3)/51,(Massenstromrechnung!$Y$6-(BG14*51+Massenstromrechnung!$X$3)/51)&lt;0.7),"trocken","feucht")</f>
        <v>feucht</v>
      </c>
      <c r="BI14" s="104">
        <f>(Massenstromrechnung!$X$4-(Massenstromrechnung!$X$3+BG14)/2)^Konstanten!$E$6*$AK14*$AL14^Konstanten!$F$6*(BG14-Massenstromrechnung!$X$3)^Konstanten!$G$6*((Massenstromrechnung!$X$3+BG14)/2)^Konstanten!$H$6*(Konstanten!$C$6-(BG14-Massenstromrechnung!$X$3)^Konstanten!$I$6*Konstanten!$D$6)</f>
        <v>998.51126325502912</v>
      </c>
      <c r="BJ14" s="104">
        <f>IF(BH14="trocken",BI14,IF(Konstanten!$A$18*(Massenstromrechnung!$Y$6^Konstanten!$B$18*(Massenstromrechnung!$X$4-(Iteration!BG14+Massenstromrechnung!$X$3)/2)^Konstanten!$C$18*BI14^Konstanten!$D$18*((Massenstromrechnung!$X$3+Iteration!BG14)/2)^Konstanten!$E$18+(Iteration!BG14-Massenstromrechnung!$X$3)^Konstanten!$F$18)&lt;1,BI14,BI14*Konstanten!$A$18*(Massenstromrechnung!$Y$6^Konstanten!$B$18*(Massenstromrechnung!$X$4-(Iteration!BG14+Massenstromrechnung!$X$3)/2)^Konstanten!$C$18*BI14^Konstanten!$D$18*((Massenstromrechnung!$X$3+Iteration!BG14)/2)^Konstanten!$E$18+(Iteration!BG14-Massenstromrechnung!$X$3)^Konstanten!$F$18)))</f>
        <v>1353.274050707648</v>
      </c>
      <c r="BK14" s="101">
        <f>IF(BJ14/(Massenstromrechnung!$R24*Konstanten!$K$3/3.6)+Massenstromrechnung!$X$3-Massenstromrechnung!$X$3&lt;1.4,"RLT zu niedrig",BJ14/(Massenstromrechnung!$R24*Konstanten!$K$3/3.6)+Massenstromrechnung!$X$3)</f>
        <v>11.99337602407908</v>
      </c>
      <c r="BL14" s="103" t="str">
        <f>IF(BK14="RLT zu niedrig","RLT zu niedrig",IF(OR(Massenstromrechnung!$Y$6&lt;(BK14*50+Massenstromrechnung!$X$3)/51,(Massenstromrechnung!$Y$6-(BK14*51+Massenstromrechnung!$X$3)/51)&lt;0.7),"trocken","feucht"))</f>
        <v>feucht</v>
      </c>
      <c r="BM14" s="104">
        <f>IF(BK14="RLT zu niedrig","RLT zu niedrig",(Massenstromrechnung!$X$4-(Massenstromrechnung!$X$3+BK14)/2)^Konstanten!$E$6*$AK14*$AL14^Konstanten!$F$6*(BK14-Massenstromrechnung!$X$3)^Konstanten!$G$6*((Massenstromrechnung!$X$3+BK14)/2)^Konstanten!$H$6*(Konstanten!$C$6-(BK14-Massenstromrechnung!$X$3)^Konstanten!$I$6*Konstanten!$D$6))</f>
        <v>999.70542718805041</v>
      </c>
      <c r="BN14" s="104">
        <f>IF(BK14="RLT zu niedrig","RLT zu niedrig",IF(BL14="trocken",BM14,IF(Konstanten!$A$18*(Massenstromrechnung!$Y$6^Konstanten!$B$18*(Massenstromrechnung!$X$4-(Iteration!BK14+Massenstromrechnung!$X$3)/2)^Konstanten!$C$18*BM14^Konstanten!$D$18*((Massenstromrechnung!$X$3+Iteration!BK14)/2)^Konstanten!$E$18+(Iteration!BK14-Massenstromrechnung!$X$3)^Konstanten!$F$18)&lt;1,BM14,BM14*Konstanten!$A$18*(Massenstromrechnung!$Y$6^Konstanten!$B$18*(Massenstromrechnung!$X$4-(Iteration!BK14+Massenstromrechnung!$X$3)/2)^Konstanten!$C$18*BM14^Konstanten!$D$18*((Massenstromrechnung!$X$3+Iteration!BK14)/2)^Konstanten!$E$18+(Iteration!BK14-Massenstromrechnung!$X$3)^Konstanten!$F$18))))</f>
        <v>1355.7090267659473</v>
      </c>
      <c r="BO14" s="101"/>
      <c r="BP14">
        <f t="shared" si="10"/>
        <v>1130</v>
      </c>
      <c r="BQ14">
        <f t="shared" si="10"/>
        <v>735</v>
      </c>
      <c r="BR14" s="103">
        <f>Massenstromrechnung!$X$3+2</f>
        <v>9</v>
      </c>
      <c r="BS14" s="103" t="str">
        <f>IF(OR(Massenstromrechnung!$Y$6&lt;(BR14*50+Massenstromrechnung!$X$3)/51,(Massenstromrechnung!$Y$6-(BR14*51+Massenstromrechnung!$X$3)/51)&lt;0.7),"trocken","feucht")</f>
        <v>feucht</v>
      </c>
      <c r="BT14" s="104">
        <f>(Massenstromrechnung!$X$4-(Massenstromrechnung!$X$3+BR14)/2)^Konstanten!$E$7*$AK14*$AL14^Konstanten!$F$7*(BR14-Massenstromrechnung!$X$3)^Konstanten!$G$7*((Massenstromrechnung!$X$3+BR14)/2)^Konstanten!$H$7*(Konstanten!$C$7-(BR14-Massenstromrechnung!$X$3)^Konstanten!$I$7*Konstanten!$D$7)</f>
        <v>1233.7261424276412</v>
      </c>
      <c r="BU14" s="104">
        <f>IF(BS14="trocken",BT14,IF(Konstanten!$A$18*(Massenstromrechnung!$Y$6^Konstanten!$B$18*(Massenstromrechnung!$X$4-(Iteration!BR14+Massenstromrechnung!$X$3)/2)^Konstanten!$C$18*BT14^Konstanten!$D$18*((Massenstromrechnung!$X$3+Iteration!BR14)/2)^Konstanten!$E$18+(Iteration!BR14-Massenstromrechnung!$X$3)^Konstanten!$F$18)&lt;1,BT14,BT14*Konstanten!$A$18*(Massenstromrechnung!$Y$6^Konstanten!$B$18*(Massenstromrechnung!$X$4-(Iteration!BR14+Massenstromrechnung!$X$3)/2)^Konstanten!$C$18*BT14^Konstanten!$D$18*((Massenstromrechnung!$X$3+Iteration!BR14)/2)^Konstanten!$E$18+(Iteration!BR14-Massenstromrechnung!$X$3)^Konstanten!$F$18)))</f>
        <v>1835.7584328686614</v>
      </c>
      <c r="BV14" s="101">
        <f>BU14/(Massenstromrechnung!$AA24*Konstanten!$K$3/3.6)+Massenstromrechnung!$X$3</f>
        <v>13.894752839257841</v>
      </c>
      <c r="BW14" s="103" t="str">
        <f>IF(OR(Massenstromrechnung!$Y$6&lt;(BV14*50+Massenstromrechnung!$X$3)/51,(Massenstromrechnung!$Y$6-(BV14*51+Massenstromrechnung!$X$3)/51)&lt;0.7),"trocken","feucht")</f>
        <v>feucht</v>
      </c>
      <c r="BX14" s="104">
        <f>(Massenstromrechnung!$X$4-(Massenstromrechnung!$X$3+BV14)/2)^Konstanten!$E$7*$AK14*$AL14^Konstanten!$F$7*(BV14-Massenstromrechnung!$X$3)^Konstanten!$G$7*((Massenstromrechnung!$X$3+BV14)/2)^Konstanten!$H$7*(Konstanten!$C$7-(BV14-Massenstromrechnung!$X$3)^Konstanten!$I$7*Konstanten!$D$7)</f>
        <v>881.91564645438336</v>
      </c>
      <c r="BY14" s="104">
        <f>IF(BW14="trocken",BX14,IF(Konstanten!$A$18*(Massenstromrechnung!$Y$6^Konstanten!$B$18*(Massenstromrechnung!$X$4-(Iteration!BV14+Massenstromrechnung!$X$3)/2)^Konstanten!$C$18*BX14^Konstanten!$D$18*((Massenstromrechnung!$X$3+Iteration!BV14)/2)^Konstanten!$E$18+(Iteration!BV14-Massenstromrechnung!$X$3)^Konstanten!$F$18)&lt;1,BX14,BX14*Konstanten!$A$18*(Massenstromrechnung!$Y$6^Konstanten!$B$18*(Massenstromrechnung!$X$4-(Iteration!BV14+Massenstromrechnung!$X$3)/2)^Konstanten!$C$18*BX14^Konstanten!$D$18*((Massenstromrechnung!$X$3+Iteration!BV14)/2)^Konstanten!$E$18+(Iteration!BV14-Massenstromrechnung!$X$3)^Konstanten!$F$18)))</f>
        <v>1149.7601195423249</v>
      </c>
      <c r="BZ14" s="101">
        <f>BY14/(Massenstromrechnung!$AA24*Konstanten!$K$3/3.6)+Massenstromrechnung!$X$3</f>
        <v>11.318276145022091</v>
      </c>
      <c r="CA14" s="103" t="str">
        <f>IF(OR(Massenstromrechnung!$Y$6&lt;(BZ14*50+Massenstromrechnung!$X$3)/51,(Massenstromrechnung!$Y$6-(BZ14*51+Massenstromrechnung!$X$3)/51)&lt;0.7),"trocken","feucht")</f>
        <v>feucht</v>
      </c>
      <c r="CB14" s="104">
        <f>(Massenstromrechnung!$X$4-(Massenstromrechnung!$X$3+BZ14)/2)^Konstanten!$E$7*$AK14*$AL14^Konstanten!$F$7*(BZ14-Massenstromrechnung!$X$3)^Konstanten!$G$7*((Massenstromrechnung!$X$3+BZ14)/2)^Konstanten!$H$7*(Konstanten!$C$7-(BZ14-Massenstromrechnung!$X$3)^Konstanten!$I$7*Konstanten!$D$7)</f>
        <v>1024.1011073296854</v>
      </c>
      <c r="CC14" s="104">
        <f>IF(CA14="trocken",CB14,IF(Konstanten!$A$18*(Massenstromrechnung!$Y$6^Konstanten!$B$18*(Massenstromrechnung!$X$4-(Iteration!BZ14+Massenstromrechnung!$X$3)/2)^Konstanten!$C$18*CB14^Konstanten!$D$18*((Massenstromrechnung!$X$3+Iteration!BZ14)/2)^Konstanten!$E$18+(Iteration!BZ14-Massenstromrechnung!$X$3)^Konstanten!$F$18)&lt;1,CB14,CB14*Konstanten!$A$18*(Massenstromrechnung!$Y$6^Konstanten!$B$18*(Massenstromrechnung!$X$4-(Iteration!BZ14+Massenstromrechnung!$X$3)/2)^Konstanten!$C$18*CB14^Konstanten!$D$18*((Massenstromrechnung!$X$3+Iteration!BZ14)/2)^Konstanten!$E$18+(Iteration!BZ14-Massenstromrechnung!$X$3)^Konstanten!$F$18)))</f>
        <v>1412.8385289812097</v>
      </c>
      <c r="CD14" s="101">
        <f>CC14/(Massenstromrechnung!$AA24*Konstanten!$K$3/3.6)+Massenstromrechnung!$X$3</f>
        <v>12.306347657019312</v>
      </c>
      <c r="CE14" s="103" t="str">
        <f>IF(OR(Massenstromrechnung!$Y$6&lt;(CD14*50+Massenstromrechnung!$X$3)/51,(Massenstromrechnung!$Y$6-(CD14*51+Massenstromrechnung!$X$3)/51)&lt;0.7),"trocken","feucht")</f>
        <v>feucht</v>
      </c>
      <c r="CF14" s="104">
        <f>(Massenstromrechnung!$X$4-(Massenstromrechnung!$X$3+CD14)/2)^Konstanten!$E$7*$AK14*$AL14^Konstanten!$F$7*(CD14-Massenstromrechnung!$X$3)^Konstanten!$G$7*((Massenstromrechnung!$X$3+CD14)/2)^Konstanten!$H$7*(Konstanten!$C$7-(CD14-Massenstromrechnung!$X$3)^Konstanten!$I$7*Konstanten!$D$7)</f>
        <v>963.54034053158546</v>
      </c>
      <c r="CG14" s="104">
        <f>IF(CE14="trocken",CF14,IF(Konstanten!$A$18*(Massenstromrechnung!$Y$6^Konstanten!$B$18*(Massenstromrechnung!$X$4-(Iteration!CD14+Massenstromrechnung!$X$3)/2)^Konstanten!$C$18*CF14^Konstanten!$D$18*((Massenstromrechnung!$X$3+Iteration!CD14)/2)^Konstanten!$E$18+(Iteration!CD14-Massenstromrechnung!$X$3)^Konstanten!$F$18)&lt;1,CF14,CF14*Konstanten!$A$18*(Massenstromrechnung!$Y$6^Konstanten!$B$18*(Massenstromrechnung!$X$4-(Iteration!CD14+Massenstromrechnung!$X$3)/2)^Konstanten!$C$18*CF14^Konstanten!$D$18*((Massenstromrechnung!$X$3+Iteration!CD14)/2)^Konstanten!$E$18+(Iteration!CD14-Massenstromrechnung!$X$3)^Konstanten!$F$18)))</f>
        <v>1297.9739325248045</v>
      </c>
      <c r="CH14" s="101">
        <f>CG14/(Massenstromrechnung!$AA24*Konstanten!$K$3/3.6)+Massenstromrechnung!$X$3</f>
        <v>11.874938497530696</v>
      </c>
      <c r="CI14" s="103" t="str">
        <f>IF(OR(Massenstromrechnung!$Y$6&lt;(CH14*50+Massenstromrechnung!$X$3)/51,(Massenstromrechnung!$Y$6-(CH14*51+Massenstromrechnung!$X$3)/51)&lt;0.7),"trocken","feucht")</f>
        <v>feucht</v>
      </c>
      <c r="CJ14" s="104">
        <f>(Massenstromrechnung!$X$4-(Massenstromrechnung!$X$3+CH14)/2)^Konstanten!$E$7*$AK14*$AL14^Konstanten!$F$7*(CH14-Massenstromrechnung!$X$3)^Konstanten!$G$7*((Massenstromrechnung!$X$3+CH14)/2)^Konstanten!$H$7*(Konstanten!$C$7-(CH14-Massenstromrechnung!$X$3)^Konstanten!$I$7*Konstanten!$D$7)</f>
        <v>988.80041198268736</v>
      </c>
      <c r="CK14" s="104">
        <f>IF(CI14="trocken",CJ14,IF(Konstanten!$A$18*(Massenstromrechnung!$Y$6^Konstanten!$B$18*(Massenstromrechnung!$X$4-(Iteration!CH14+Massenstromrechnung!$X$3)/2)^Konstanten!$C$18*CJ14^Konstanten!$D$18*((Massenstromrechnung!$X$3+Iteration!CH14)/2)^Konstanten!$E$18+(Iteration!CH14-Massenstromrechnung!$X$3)^Konstanten!$F$18)&lt;1,CJ14,CJ14*Konstanten!$A$18*(Massenstromrechnung!$Y$6^Konstanten!$B$18*(Massenstromrechnung!$X$4-(Iteration!CH14+Massenstromrechnung!$X$3)/2)^Konstanten!$C$18*CJ14^Konstanten!$D$18*((Massenstromrechnung!$X$3+Iteration!CH14)/2)^Konstanten!$E$18+(Iteration!CH14-Massenstromrechnung!$X$3)^Konstanten!$F$18)))</f>
        <v>1345.4180861608077</v>
      </c>
      <c r="CL14" s="101">
        <f>CK14/(Massenstromrechnung!$AA24*Konstanten!$K$3/3.6)+Massenstromrechnung!$X$3</f>
        <v>12.053129542240676</v>
      </c>
      <c r="CM14" s="103" t="str">
        <f>IF(OR(Massenstromrechnung!$Y$6&lt;(CL14*50+Massenstromrechnung!$X$3)/51,(Massenstromrechnung!$Y$6-(CL14*51+Massenstromrechnung!$X$3)/51)&lt;0.7),"trocken","feucht")</f>
        <v>feucht</v>
      </c>
      <c r="CN14" s="104">
        <f>(Massenstromrechnung!$X$4-(Massenstromrechnung!$X$3+CL14)/2)^Konstanten!$E$7*$AK14*$AL14^Konstanten!$F$7*(CL14-Massenstromrechnung!$X$3)^Konstanten!$G$7*((Massenstromrechnung!$X$3+CL14)/2)^Konstanten!$H$7*(Konstanten!$C$7-(CL14-Massenstromrechnung!$X$3)^Konstanten!$I$7*Konstanten!$D$7)</f>
        <v>978.16750375652305</v>
      </c>
      <c r="CO14" s="104">
        <f>IF(CM14="trocken",CN14,IF(Konstanten!$A$18*(Massenstromrechnung!$Y$6^Konstanten!$B$18*(Massenstromrechnung!$X$4-(Iteration!CL14+Massenstromrechnung!$X$3)/2)^Konstanten!$C$18*CN14^Konstanten!$D$18*((Massenstromrechnung!$X$3+Iteration!CL14)/2)^Konstanten!$E$18+(Iteration!CL14-Massenstromrechnung!$X$3)^Konstanten!$F$18)&lt;1,CN14,CN14*Konstanten!$A$18*(Massenstromrechnung!$Y$6^Konstanten!$B$18*(Massenstromrechnung!$X$4-(Iteration!CL14+Massenstromrechnung!$X$3)/2)^Konstanten!$C$18*CN14^Konstanten!$D$18*((Massenstromrechnung!$X$3+Iteration!CL14)/2)^Konstanten!$E$18+(Iteration!CL14-Massenstromrechnung!$X$3)^Konstanten!$F$18)))</f>
        <v>1325.3626869908874</v>
      </c>
      <c r="CP14" s="101">
        <f>IF(CO14/(Massenstromrechnung!$AA24*Konstanten!$K$3/3.6)+Massenstromrechnung!$X$3-Massenstromrechnung!$X$3&lt;1.4,"RLT zu niedrig",CO14/(Massenstromrechnung!$AA24*Konstanten!$K$3/3.6)+Massenstromrechnung!$X$3)</f>
        <v>11.977805350400697</v>
      </c>
      <c r="CQ14" s="103" t="str">
        <f>IF(CP14="RLT zu niedrig","RLT zu niedrig",IF(OR(Massenstromrechnung!$Y$6&lt;(CP14*50+Massenstromrechnung!$X$3)/51,(Massenstromrechnung!$Y$6-(CP14*51+Massenstromrechnung!$X$3)/51)&lt;0.7),"trocken","feucht"))</f>
        <v>feucht</v>
      </c>
      <c r="CR14" s="104">
        <f>IF(CP14="RLT zu niedrig","RLT zu niedrig",(Massenstromrechnung!$X$4-(Massenstromrechnung!$X$3+CP14)/2)^Konstanten!$E$7*$AK14*$AL14^Konstanten!$F$7*(CP14-Massenstromrechnung!$X$3)^Konstanten!$G$7*((Massenstromrechnung!$X$3+CP14)/2)^Konstanten!$H$7*(Konstanten!$C$7-(CP14-Massenstromrechnung!$X$3)^Konstanten!$I$7*Konstanten!$D$7))</f>
        <v>982.62640489473279</v>
      </c>
      <c r="CS14" s="104">
        <f>IF(CP14="RLT zu niedrig","RLT zu niedrig",IF(CQ14="trocken",CR14,IF(Konstanten!$A$18*(Massenstromrechnung!$Y$6^Konstanten!$B$18*(Massenstromrechnung!$X$4-(Iteration!CP14+Massenstromrechnung!$X$3)/2)^Konstanten!$C$18*CR14^Konstanten!$D$18*((Massenstromrechnung!$X$3+Iteration!CP14)/2)^Konstanten!$E$18+(Iteration!CP14-Massenstromrechnung!$X$3)^Konstanten!$F$18)&lt;1,CR14,CR14*Konstanten!$A$18*(Massenstromrechnung!$Y$6^Konstanten!$B$18*(Massenstromrechnung!$X$4-(Iteration!CP14+Massenstromrechnung!$X$3)/2)^Konstanten!$C$18*CR14^Konstanten!$D$18*((Massenstromrechnung!$X$3+Iteration!CP14)/2)^Konstanten!$E$18+(Iteration!CP14-Massenstromrechnung!$X$3)^Konstanten!$F$18))))</f>
        <v>1333.7581947580227</v>
      </c>
    </row>
    <row r="15" spans="1:97" x14ac:dyDescent="0.3">
      <c r="A15">
        <f>Massenstromrechnung!B25</f>
        <v>1130</v>
      </c>
      <c r="B15" s="27">
        <v>495</v>
      </c>
      <c r="C15" s="103">
        <f>IF(Massenstromrechnung!$K$3-10&lt;=Massenstromrechnung!$K$4,Massenstromrechnung!$K$3-0.75*(Massenstromrechnung!$K$3-Massenstromrechnung!$K$4),Massenstromrechnung!$K$3-10)</f>
        <v>65</v>
      </c>
      <c r="D15" s="103">
        <f>-1*((Massenstromrechnung!$K$3+C15)/2-Massenstromrechnung!$K$4)^Konstanten!$E$4*Massenstromrechnung!$B25*Massenstromrechnung!$C25^Konstanten!$F$4*(Massenstromrechnung!$K$3-C15)^Konstanten!$G$4*((Massenstromrechnung!$K$3+C15)/2)^Konstanten!$H$4*(Konstanten!$C$4-((Massenstromrechnung!$K$3-C15)^Konstanten!$I$4*Konstanten!$D$4))/(Massenstromrechnung!$F25*Konstanten!$K$3/3.6)+Massenstromrechnung!$K$3</f>
        <v>65</v>
      </c>
      <c r="E15" s="103">
        <f t="shared" si="6"/>
        <v>65</v>
      </c>
      <c r="F15" s="103">
        <f>-1*((Massenstromrechnung!$K$3+E15)/2-Massenstromrechnung!$K$4)^Konstanten!$E$4*Massenstromrechnung!$B25*Massenstromrechnung!$C25^Konstanten!$F$4*(Massenstromrechnung!$K$3-E15)^Konstanten!$G$4*((Massenstromrechnung!$K$3+E15)/2)^Konstanten!$H$4*(Konstanten!$C$4-((Massenstromrechnung!$K$3-E15)^Konstanten!$I$4*Konstanten!$D$4))/(Massenstromrechnung!$F25*Konstanten!$K$3/3.6)+Massenstromrechnung!$K$3</f>
        <v>65</v>
      </c>
      <c r="G15" s="103">
        <f t="shared" si="0"/>
        <v>65</v>
      </c>
      <c r="H15" s="103">
        <f>-1*((Massenstromrechnung!$K$3+G15)/2-Massenstromrechnung!$K$4)^Konstanten!$E$4*Massenstromrechnung!$B25*Massenstromrechnung!$C25^Konstanten!$F$4*(Massenstromrechnung!$K$3-G15)^Konstanten!$G$4*((Massenstromrechnung!$K$3+G15)/2)^Konstanten!$H$4*(Konstanten!$C$4-((Massenstromrechnung!$K$3-G15)^Konstanten!$I$4*Konstanten!$D$4))/(Massenstromrechnung!$F25*Konstanten!$K$3/3.6)+Massenstromrechnung!$K$3</f>
        <v>65</v>
      </c>
      <c r="I15" s="103">
        <f t="shared" si="1"/>
        <v>65</v>
      </c>
      <c r="J15" s="103">
        <f>-1*((Massenstromrechnung!$K$3+I15)/2-Massenstromrechnung!$K$4)^Konstanten!$E$4*Massenstromrechnung!$B25*Massenstromrechnung!$C25^Konstanten!$F$4*(Massenstromrechnung!$K$3-I15)^Konstanten!$G$4*((Massenstromrechnung!$K$3+I15)/2)^Konstanten!$H$4*(Konstanten!$C$4-((Massenstromrechnung!$K$3-I15)^Konstanten!$I$4*Konstanten!$D$4))/(Massenstromrechnung!$F25*Konstanten!$K$3/3.6)+Massenstromrechnung!$K$3</f>
        <v>65</v>
      </c>
      <c r="K15" s="103">
        <f t="shared" si="2"/>
        <v>65</v>
      </c>
      <c r="L15" s="103">
        <f>-1*((Massenstromrechnung!$K$3+K15)/2-Massenstromrechnung!$K$4)^Konstanten!$E$4*Massenstromrechnung!$B25*Massenstromrechnung!$C25^Konstanten!$F$4*(Massenstromrechnung!$K$3-K15)^Konstanten!$G$4*((Massenstromrechnung!$K$3+K15)/2)^Konstanten!$H$4*(Konstanten!$C$4-((Massenstromrechnung!$K$3-K15)^Konstanten!$I$4*Konstanten!$D$4))/(Massenstromrechnung!$F25*Konstanten!$K$3/3.6)+Massenstromrechnung!$K$3</f>
        <v>65</v>
      </c>
      <c r="N15">
        <f>'Katalogdaten M3G045'!B29</f>
        <v>1130</v>
      </c>
      <c r="O15" s="27">
        <v>495</v>
      </c>
      <c r="P15" s="103">
        <f>IF(Massenstromrechnung!$K$3-10&lt;=Massenstromrechnung!$K$4,Massenstromrechnung!$K$3-0.75*(Massenstromrechnung!$K$3-Massenstromrechnung!$K$4),Massenstromrechnung!$K$3-10)</f>
        <v>65</v>
      </c>
      <c r="Q15" s="103" t="e">
        <f>-1*((Massenstromrechnung!$K$3+P15)/2-Massenstromrechnung!$K$4)^Konstanten!$E$4*Massenstromrechnung!$B25*Massenstromrechnung!$C25^Konstanten!$F$4*(Massenstromrechnung!$K$3-P15)^Konstanten!$G$4*((Massenstromrechnung!$K$3+P15)/2)^Konstanten!$H$4*(Konstanten!$C$4-((Massenstromrechnung!$K$3-P15)^Konstanten!$I$4*Konstanten!$D$4))/(Massenstromrechnung!#REF!*Konstanten!$K$3/3.6)+Massenstromrechnung!$K$3</f>
        <v>#REF!</v>
      </c>
      <c r="R15" s="103" t="e">
        <f t="shared" si="7"/>
        <v>#REF!</v>
      </c>
      <c r="S15" s="103" t="e">
        <f>-1*((Massenstromrechnung!$K$3+R15)/2-Massenstromrechnung!$K$4)^Konstanten!$E$4*Massenstromrechnung!$B25*Massenstromrechnung!$C25^Konstanten!$F$4*(Massenstromrechnung!$K$3-R15)^Konstanten!$G$4*((Massenstromrechnung!$K$3+R15)/2)^Konstanten!$H$4*(Konstanten!$C$4-((Massenstromrechnung!$K$3-R15)^Konstanten!$I$4*Konstanten!$D$4))/(Massenstromrechnung!#REF!*Konstanten!$K$3/3.6)+Massenstromrechnung!$K$3</f>
        <v>#REF!</v>
      </c>
      <c r="T15" s="103" t="e">
        <f t="shared" si="3"/>
        <v>#REF!</v>
      </c>
      <c r="U15" s="103" t="e">
        <f>-1*((Massenstromrechnung!$K$3+T15)/2-Massenstromrechnung!$K$4)^Konstanten!$E$4*Massenstromrechnung!$B25*Massenstromrechnung!$C25^Konstanten!$F$4*(Massenstromrechnung!$K$3-T15)^Konstanten!$G$4*((Massenstromrechnung!$K$3+T15)/2)^Konstanten!$H$4*(Konstanten!$C$4-((Massenstromrechnung!$K$3-T15)^Konstanten!$I$4*Konstanten!$D$4))/(Massenstromrechnung!#REF!*Konstanten!$K$3/3.6)+Massenstromrechnung!$K$3</f>
        <v>#REF!</v>
      </c>
      <c r="V15" s="103" t="e">
        <f t="shared" si="4"/>
        <v>#REF!</v>
      </c>
      <c r="W15" s="103" t="e">
        <f>-1*((Massenstromrechnung!$K$3+V15)/2-Massenstromrechnung!$K$4)^Konstanten!$E$4*Massenstromrechnung!$B25*Massenstromrechnung!$C25^Konstanten!$F$4*(Massenstromrechnung!$K$3-V15)^Konstanten!$G$4*((Massenstromrechnung!$K$3+V15)/2)^Konstanten!$H$4*(Konstanten!$C$4-((Massenstromrechnung!$K$3-V15)^Konstanten!$I$4*Konstanten!$D$4))/(Massenstromrechnung!#REF!*Konstanten!$K$3/3.6)+Massenstromrechnung!$K$3</f>
        <v>#REF!</v>
      </c>
      <c r="X15" s="103" t="e">
        <f t="shared" si="5"/>
        <v>#REF!</v>
      </c>
      <c r="Y15" s="103" t="e">
        <f>-1*((Massenstromrechnung!$K$3+X15)/2-Massenstromrechnung!$K$4)^Konstanten!$E$4*Massenstromrechnung!$B25*Massenstromrechnung!$C25^Konstanten!$F$4*(Massenstromrechnung!$K$3-X15)^Konstanten!$G$4*((Massenstromrechnung!$K$3+X15)/2)^Konstanten!$H$4*(Konstanten!$C$4-((Massenstromrechnung!$K$3-X15)^Konstanten!$I$4*Konstanten!$D$4))/(Massenstromrechnung!#REF!*Konstanten!$K$3/3.6)+Massenstromrechnung!$K$3</f>
        <v>#REF!</v>
      </c>
      <c r="AA15">
        <f t="shared" si="8"/>
        <v>1130</v>
      </c>
      <c r="AB15">
        <f t="shared" si="8"/>
        <v>495</v>
      </c>
      <c r="AC15" s="103">
        <f>IF(Massenstromrechnung!$K$3-10&lt;=Massenstromrechnung!$K$4,Massenstromrechnung!$K$3-0.75*(Massenstromrechnung!$K$3-Massenstromrechnung!$K$4),Massenstromrechnung!$K$3-10)</f>
        <v>65</v>
      </c>
      <c r="AD15" s="103">
        <f>-1*((Massenstromrechnung!$K$3+AC15)/2-Massenstromrechnung!$K$4)^Konstanten!$E$5*$AA15*$AB15^Konstanten!$F$5*(Massenstromrechnung!$K$3-AC15)^Konstanten!$G$5*((Massenstromrechnung!$K$3+AC15)/2)^Konstanten!$H$5*(Konstanten!$C$5-((Massenstromrechnung!$K$3-AC15)^Konstanten!$I$5*Konstanten!$D$5))/(Massenstromrechnung!$L25*Konstanten!$K$3/3.6)+Massenstromrechnung!$K$3</f>
        <v>65</v>
      </c>
      <c r="AE15" s="103">
        <f>-1*((Massenstromrechnung!$K$3+AD15)/2-Massenstromrechnung!$K$4)^Konstanten!$E$5*$AA15*$AB15^Konstanten!$F$5*(Massenstromrechnung!$K$3-AD15)^Konstanten!$G$5*((Massenstromrechnung!$K$3+AD15)/2)^Konstanten!$H$5*(Konstanten!$C$5-((Massenstromrechnung!$K$3-AD15)^Konstanten!$I$5*Konstanten!$D$5))/(Massenstromrechnung!$L25*Konstanten!$K$3/3.6)+Massenstromrechnung!$K$3</f>
        <v>65</v>
      </c>
      <c r="AF15" s="103">
        <f>-1*((Massenstromrechnung!$K$3+AE15)/2-Massenstromrechnung!$K$4)^Konstanten!$E$5*$AA15*$AB15^Konstanten!$F$5*(Massenstromrechnung!$K$3-AE15)^Konstanten!$G$5*((Massenstromrechnung!$K$3+AE15)/2)^Konstanten!$H$5*(Konstanten!$C$5-((Massenstromrechnung!$K$3-AE15)^Konstanten!$I$5*Konstanten!$D$5))/(Massenstromrechnung!$L25*Konstanten!$K$3/3.6)+Massenstromrechnung!$K$3</f>
        <v>65</v>
      </c>
      <c r="AG15" s="103">
        <f>-1*((Massenstromrechnung!$K$3+AF15)/2-Massenstromrechnung!$K$4)^Konstanten!$E$5*$AA15*$AB15^Konstanten!$F$5*(Massenstromrechnung!$K$3-AF15)^Konstanten!$G$5*((Massenstromrechnung!$K$3+AF15)/2)^Konstanten!$H$5*(Konstanten!$C$5-((Massenstromrechnung!$K$3-AF15)^Konstanten!$I$5*Konstanten!$D$5))/(Massenstromrechnung!$L25*Konstanten!$K$3/3.6)+Massenstromrechnung!$K$3</f>
        <v>65</v>
      </c>
      <c r="AH15" s="103">
        <f>-1*((Massenstromrechnung!$K$3+AG15)/2-Massenstromrechnung!$K$4)^Konstanten!$E$5*$AA15*$AB15^Konstanten!$F$5*(Massenstromrechnung!$K$3-AG15)^Konstanten!$G$5*((Massenstromrechnung!$K$3+AG15)/2)^Konstanten!$H$5*(Konstanten!$C$5-((Massenstromrechnung!$K$3-AG15)^Konstanten!$I$5*Konstanten!$D$5))/(Massenstromrechnung!$L25*Konstanten!$K$3/3.6)+Massenstromrechnung!$K$3</f>
        <v>65</v>
      </c>
      <c r="AI15" s="103">
        <f>-1*((Massenstromrechnung!$K$3+AH15)/2-Massenstromrechnung!$K$4)^Konstanten!$E$5*$AA15*$AB15^Konstanten!$F$5*(Massenstromrechnung!$K$3-AH15)^Konstanten!$G$5*((Massenstromrechnung!$K$3+AH15)/2)^Konstanten!$H$5*(Konstanten!$C$5-((Massenstromrechnung!$K$3-AH15)^Konstanten!$I$5*Konstanten!$D$5))/(Massenstromrechnung!$L25*Konstanten!$K$3/3.6)+Massenstromrechnung!$K$3</f>
        <v>65</v>
      </c>
      <c r="AK15">
        <f t="shared" si="9"/>
        <v>1130</v>
      </c>
      <c r="AL15">
        <f t="shared" si="9"/>
        <v>495</v>
      </c>
      <c r="AM15" s="103">
        <f>Massenstromrechnung!$X$3+2</f>
        <v>9</v>
      </c>
      <c r="AN15" s="103" t="str">
        <f>IF(OR(Massenstromrechnung!$Y$6&lt;(AM15*50+Massenstromrechnung!$X$3)/51,(Massenstromrechnung!$Y$6-(AM15*51+Massenstromrechnung!$X$3)/51)&lt;0.7),"trocken","feucht")</f>
        <v>feucht</v>
      </c>
      <c r="AO15" s="104">
        <f>(Massenstromrechnung!$X$4-(Massenstromrechnung!$X$3+AM15)/2)^Konstanten!$E$6*$AK15*$AL15^Konstanten!$F$6*(AM15-Massenstromrechnung!$X$3)^Konstanten!$G$6*((Massenstromrechnung!$X$3+AM15)/2)^Konstanten!$H$6*(Konstanten!$C$6-(AM15-Massenstromrechnung!$X$3)^Konstanten!$I$6*Konstanten!$D$6)</f>
        <v>633.69916081370252</v>
      </c>
      <c r="AP15" s="104">
        <f>IF(AN15="trocken",AO15,IF(Konstanten!$A$18*(Massenstromrechnung!$Y$6^Konstanten!$B$18*(Massenstromrechnung!$X$4-(Iteration!AM15+Massenstromrechnung!$X$3)/2)^Konstanten!$C$18*AO15^Konstanten!$D$18*((Massenstromrechnung!$X$3+Iteration!AM15)/2)^Konstanten!$E$18+(Iteration!AM15-Massenstromrechnung!$X$3)^Konstanten!$F$18)&lt;1,AO15,AO15*Konstanten!$A$18*(Massenstromrechnung!$Y$6^Konstanten!$B$18*(Massenstromrechnung!$X$4-(Iteration!AM15+Massenstromrechnung!$X$3)/2)^Konstanten!$C$18*AO15^Konstanten!$D$18*((Massenstromrechnung!$X$3+Iteration!AM15)/2)^Konstanten!$E$18+(Iteration!AM15-Massenstromrechnung!$X$3)^Konstanten!$F$18)))</f>
        <v>961.30149046032921</v>
      </c>
      <c r="AQ15" s="101">
        <f>AP15/(Massenstromrechnung!$R25*Konstanten!$K$3/3.6)+Massenstromrechnung!$X$3</f>
        <v>13.214021238810425</v>
      </c>
      <c r="AR15" s="103" t="str">
        <f>IF(OR(Massenstromrechnung!$Y$6&lt;(AQ15*50+Massenstromrechnung!$X$3)/51,(Massenstromrechnung!$Y$6-(AQ15*51+Massenstromrechnung!$X$3)/51)&lt;0.7),"trocken","feucht")</f>
        <v>feucht</v>
      </c>
      <c r="AS15" s="104">
        <f>(Massenstromrechnung!$X$4-(Massenstromrechnung!$X$3+AQ15)/2)^Konstanten!$E$6*$AK15*$AL15^Konstanten!$F$6*(AQ15-Massenstromrechnung!$X$3)^Konstanten!$G$6*((Massenstromrechnung!$X$3+AQ15)/2)^Konstanten!$H$6*(Konstanten!$C$6-(AQ15-Massenstromrechnung!$X$3)^Konstanten!$I$6*Konstanten!$D$6)</f>
        <v>529.54093920404262</v>
      </c>
      <c r="AT15" s="104">
        <f>IF(AR15="trocken",AS15,IF(Konstanten!$A$18*(Massenstromrechnung!$Y$6^Konstanten!$B$18*(Massenstromrechnung!$X$4-(Iteration!AQ15+Massenstromrechnung!$X$3)/2)^Konstanten!$C$18*AS15^Konstanten!$D$18*((Massenstromrechnung!$X$3+Iteration!AQ15)/2)^Konstanten!$E$18+(Iteration!AQ15-Massenstromrechnung!$X$3)^Konstanten!$F$18)&lt;1,AS15,AS15*Konstanten!$A$18*(Massenstromrechnung!$Y$6^Konstanten!$B$18*(Massenstromrechnung!$X$4-(Iteration!AQ15+Massenstromrechnung!$X$3)/2)^Konstanten!$C$18*AS15^Konstanten!$D$18*((Massenstromrechnung!$X$3+Iteration!AQ15)/2)^Konstanten!$E$18+(Iteration!AQ15-Massenstromrechnung!$X$3)^Konstanten!$F$18)))</f>
        <v>711.15583722157123</v>
      </c>
      <c r="AU15" s="101">
        <f>AT15/(Massenstromrechnung!$R25*Konstanten!$K$3/3.6)+Massenstromrechnung!$X$3</f>
        <v>11.597035914802028</v>
      </c>
      <c r="AV15" s="103" t="str">
        <f>IF(OR(Massenstromrechnung!$Y$6&lt;(AU15*50+Massenstromrechnung!$X$3)/51,(Massenstromrechnung!$Y$6-(AU15*51+Massenstromrechnung!$X$3)/51)&lt;0.7),"trocken","feucht")</f>
        <v>feucht</v>
      </c>
      <c r="AW15" s="104">
        <f>(Massenstromrechnung!$X$4-(Massenstromrechnung!$X$3+AU15)/2)^Konstanten!$E$6*$AK15*$AL15^Konstanten!$F$6*(AU15-Massenstromrechnung!$X$3)^Konstanten!$G$6*((Massenstromrechnung!$X$3+AU15)/2)^Konstanten!$H$6*(Konstanten!$C$6-(AU15-Massenstromrechnung!$X$3)^Konstanten!$I$6*Konstanten!$D$6)</f>
        <v>571.53180174707381</v>
      </c>
      <c r="AX15" s="104">
        <f>IF(AV15="trocken",AW15,IF(Konstanten!$A$18*(Massenstromrechnung!$Y$6^Konstanten!$B$18*(Massenstromrechnung!$X$4-(Iteration!AU15+Massenstromrechnung!$X$3)/2)^Konstanten!$C$18*AW15^Konstanten!$D$18*((Massenstromrechnung!$X$3+Iteration!AU15)/2)^Konstanten!$E$18+(Iteration!AU15-Massenstromrechnung!$X$3)^Konstanten!$F$18)&lt;1,AW15,AW15*Konstanten!$A$18*(Massenstromrechnung!$Y$6^Konstanten!$B$18*(Massenstromrechnung!$X$4-(Iteration!AU15+Massenstromrechnung!$X$3)/2)^Konstanten!$C$18*AW15^Konstanten!$D$18*((Massenstromrechnung!$X$3+Iteration!AU15)/2)^Konstanten!$E$18+(Iteration!AU15-Massenstromrechnung!$X$3)^Konstanten!$F$18)))</f>
        <v>796.2094974166522</v>
      </c>
      <c r="AY15" s="101">
        <f>AX15/(Massenstromrechnung!$R25*Konstanten!$K$3/3.6)+Massenstromrechnung!$X$3</f>
        <v>12.1468376743288</v>
      </c>
      <c r="AZ15" s="103" t="str">
        <f>IF(OR(Massenstromrechnung!$Y$6&lt;(AY15*50+Massenstromrechnung!$X$3)/51,(Massenstromrechnung!$Y$6-(AY15*51+Massenstromrechnung!$X$3)/51)&lt;0.7),"trocken","feucht")</f>
        <v>feucht</v>
      </c>
      <c r="BA15" s="104">
        <f>(Massenstromrechnung!$X$4-(Massenstromrechnung!$X$3+AY15)/2)^Konstanten!$E$6*$AK15*$AL15^Konstanten!$F$6*(AY15-Massenstromrechnung!$X$3)^Konstanten!$G$6*((Massenstromrechnung!$X$3+AY15)/2)^Konstanten!$H$6*(Konstanten!$C$6-(AY15-Massenstromrechnung!$X$3)^Konstanten!$I$6*Konstanten!$D$6)</f>
        <v>556.84635666788677</v>
      </c>
      <c r="BB15" s="104">
        <f>IF(AZ15="trocken",BA15,IF(Konstanten!$A$18*(Massenstromrechnung!$Y$6^Konstanten!$B$18*(Massenstromrechnung!$X$4-(Iteration!AY15+Massenstromrechnung!$X$3)/2)^Konstanten!$C$18*BA15^Konstanten!$D$18*((Massenstromrechnung!$X$3+Iteration!AY15)/2)^Konstanten!$E$18+(Iteration!AY15-Massenstromrechnung!$X$3)^Konstanten!$F$18)&lt;1,BA15,BA15*Konstanten!$A$18*(Massenstromrechnung!$Y$6^Konstanten!$B$18*(Massenstromrechnung!$X$4-(Iteration!AY15+Massenstromrechnung!$X$3)/2)^Konstanten!$C$18*BA15^Konstanten!$D$18*((Massenstromrechnung!$X$3+Iteration!AY15)/2)^Konstanten!$E$18+(Iteration!AY15-Massenstromrechnung!$X$3)^Konstanten!$F$18)))</f>
        <v>765.47939861389375</v>
      </c>
      <c r="BC15" s="101">
        <f>BB15/(Massenstromrechnung!$R25*Konstanten!$K$3/3.6)+Massenstromrechnung!$X$3</f>
        <v>11.94819293225143</v>
      </c>
      <c r="BD15" s="103" t="str">
        <f>IF(OR(Massenstromrechnung!$Y$6&lt;(BC15*50+Massenstromrechnung!$X$3)/51,(Massenstromrechnung!$Y$6-(BC15*51+Massenstromrechnung!$X$3)/51)&lt;0.7),"trocken","feucht")</f>
        <v>feucht</v>
      </c>
      <c r="BE15" s="104">
        <f>(Massenstromrechnung!$X$4-(Massenstromrechnung!$X$3+BC15)/2)^Konstanten!$E$6*$AK15*$AL15^Konstanten!$F$6*(BC15-Massenstromrechnung!$X$3)^Konstanten!$G$6*((Massenstromrechnung!$X$3+BC15)/2)^Konstanten!$H$6*(Konstanten!$C$6-(BC15-Massenstromrechnung!$X$3)^Konstanten!$I$6*Konstanten!$D$6)</f>
        <v>562.10893056464431</v>
      </c>
      <c r="BF15" s="104">
        <f>IF(BD15="trocken",BE15,IF(Konstanten!$A$18*(Massenstromrechnung!$Y$6^Konstanten!$B$18*(Massenstromrechnung!$X$4-(Iteration!BC15+Massenstromrechnung!$X$3)/2)^Konstanten!$C$18*BE15^Konstanten!$D$18*((Massenstromrechnung!$X$3+Iteration!BC15)/2)^Konstanten!$E$18+(Iteration!BC15-Massenstromrechnung!$X$3)^Konstanten!$F$18)&lt;1,BE15,BE15*Konstanten!$A$18*(Massenstromrechnung!$Y$6^Konstanten!$B$18*(Massenstromrechnung!$X$4-(Iteration!BC15+Massenstromrechnung!$X$3)/2)^Konstanten!$C$18*BE15^Konstanten!$D$18*((Massenstromrechnung!$X$3+Iteration!BC15)/2)^Konstanten!$E$18+(Iteration!BC15-Massenstromrechnung!$X$3)^Konstanten!$F$18)))</f>
        <v>776.35463000949846</v>
      </c>
      <c r="BG15" s="101">
        <f>BF15/(Massenstromrechnung!$R25*Konstanten!$K$3/3.6)+Massenstromrechnung!$X$3</f>
        <v>12.018492333157283</v>
      </c>
      <c r="BH15" s="103" t="str">
        <f>IF(OR(Massenstromrechnung!$Y$6&lt;(BG15*50+Massenstromrechnung!$X$3)/51,(Massenstromrechnung!$Y$6-(BG15*51+Massenstromrechnung!$X$3)/51)&lt;0.7),"trocken","feucht")</f>
        <v>feucht</v>
      </c>
      <c r="BI15" s="104">
        <f>(Massenstromrechnung!$X$4-(Massenstromrechnung!$X$3+BG15)/2)^Konstanten!$E$6*$AK15*$AL15^Konstanten!$F$6*(BG15-Massenstromrechnung!$X$3)^Konstanten!$G$6*((Massenstromrechnung!$X$3+BG15)/2)^Konstanten!$H$6*(Konstanten!$C$6-(BG15-Massenstromrechnung!$X$3)^Konstanten!$I$6*Konstanten!$D$6)</f>
        <v>560.24056345789256</v>
      </c>
      <c r="BJ15" s="104">
        <f>IF(BH15="trocken",BI15,IF(Konstanten!$A$18*(Massenstromrechnung!$Y$6^Konstanten!$B$18*(Massenstromrechnung!$X$4-(Iteration!BG15+Massenstromrechnung!$X$3)/2)^Konstanten!$C$18*BI15^Konstanten!$D$18*((Massenstromrechnung!$X$3+Iteration!BG15)/2)^Konstanten!$E$18+(Iteration!BG15-Massenstromrechnung!$X$3)^Konstanten!$F$18)&lt;1,BI15,BI15*Konstanten!$A$18*(Massenstromrechnung!$Y$6^Konstanten!$B$18*(Massenstromrechnung!$X$4-(Iteration!BG15+Massenstromrechnung!$X$3)/2)^Konstanten!$C$18*BI15^Konstanten!$D$18*((Massenstromrechnung!$X$3+Iteration!BG15)/2)^Konstanten!$E$18+(Iteration!BG15-Massenstromrechnung!$X$3)^Konstanten!$F$18)))</f>
        <v>772.4769587836181</v>
      </c>
      <c r="BK15" s="101">
        <f>IF(BJ15/(Massenstromrechnung!$R25*Konstanten!$K$3/3.6)+Massenstromrechnung!$X$3-Massenstromrechnung!$X$3&lt;1.4,"RLT zu niedrig",BJ15/(Massenstromrechnung!$R25*Konstanten!$K$3/3.6)+Massenstromrechnung!$X$3)</f>
        <v>11.993426387047904</v>
      </c>
      <c r="BL15" s="103" t="str">
        <f>IF(BK15="RLT zu niedrig","RLT zu niedrig",IF(OR(Massenstromrechnung!$Y$6&lt;(BK15*50+Massenstromrechnung!$X$3)/51,(Massenstromrechnung!$Y$6-(BK15*51+Massenstromrechnung!$X$3)/51)&lt;0.7),"trocken","feucht"))</f>
        <v>feucht</v>
      </c>
      <c r="BM15" s="104">
        <f>IF(BK15="RLT zu niedrig","RLT zu niedrig",(Massenstromrechnung!$X$4-(Massenstromrechnung!$X$3+BK15)/2)^Konstanten!$E$6*$AK15*$AL15^Konstanten!$F$6*(BK15-Massenstromrechnung!$X$3)^Konstanten!$G$6*((Massenstromrechnung!$X$3+BK15)/2)^Konstanten!$H$6*(Konstanten!$C$6-(BK15-Massenstromrechnung!$X$3)^Konstanten!$I$6*Konstanten!$D$6))</f>
        <v>560.90601208348687</v>
      </c>
      <c r="BN15" s="104">
        <f>IF(BK15="RLT zu niedrig","RLT zu niedrig",IF(BL15="trocken",BM15,IF(Konstanten!$A$18*(Massenstromrechnung!$Y$6^Konstanten!$B$18*(Massenstromrechnung!$X$4-(Iteration!BK15+Massenstromrechnung!$X$3)/2)^Konstanten!$C$18*BM15^Konstanten!$D$18*((Massenstromrechnung!$X$3+Iteration!BK15)/2)^Konstanten!$E$18+(Iteration!BK15-Massenstromrechnung!$X$3)^Konstanten!$F$18)&lt;1,BM15,BM15*Konstanten!$A$18*(Massenstromrechnung!$Y$6^Konstanten!$B$18*(Massenstromrechnung!$X$4-(Iteration!BK15+Massenstromrechnung!$X$3)/2)^Konstanten!$C$18*BM15^Konstanten!$D$18*((Massenstromrechnung!$X$3+Iteration!BK15)/2)^Konstanten!$E$18+(Iteration!BK15-Massenstromrechnung!$X$3)^Konstanten!$F$18))))</f>
        <v>773.8559160964885</v>
      </c>
      <c r="BO15" s="101"/>
      <c r="BP15">
        <f t="shared" si="10"/>
        <v>1130</v>
      </c>
      <c r="BQ15">
        <f t="shared" si="10"/>
        <v>495</v>
      </c>
      <c r="BR15" s="103">
        <f>Massenstromrechnung!$X$3+2</f>
        <v>9</v>
      </c>
      <c r="BS15" s="103" t="str">
        <f>IF(OR(Massenstromrechnung!$Y$6&lt;(BR15*50+Massenstromrechnung!$X$3)/51,(Massenstromrechnung!$Y$6-(BR15*51+Massenstromrechnung!$X$3)/51)&lt;0.7),"trocken","feucht")</f>
        <v>feucht</v>
      </c>
      <c r="BT15" s="104">
        <f>(Massenstromrechnung!$X$4-(Massenstromrechnung!$X$3+BR15)/2)^Konstanten!$E$7*$AK15*$AL15^Konstanten!$F$7*(BR15-Massenstromrechnung!$X$3)^Konstanten!$G$7*((Massenstromrechnung!$X$3+BR15)/2)^Konstanten!$H$7*(Konstanten!$C$7-(BR15-Massenstromrechnung!$X$3)^Konstanten!$I$7*Konstanten!$D$7)</f>
        <v>698.62985640665192</v>
      </c>
      <c r="BU15" s="104">
        <f>IF(BS15="trocken",BT15,IF(Konstanten!$A$18*(Massenstromrechnung!$Y$6^Konstanten!$B$18*(Massenstromrechnung!$X$4-(Iteration!BR15+Massenstromrechnung!$X$3)/2)^Konstanten!$C$18*BT15^Konstanten!$D$18*((Massenstromrechnung!$X$3+Iteration!BR15)/2)^Konstanten!$E$18+(Iteration!BR15-Massenstromrechnung!$X$3)^Konstanten!$F$18)&lt;1,BT15,BT15*Konstanten!$A$18*(Massenstromrechnung!$Y$6^Konstanten!$B$18*(Massenstromrechnung!$X$4-(Iteration!BR15+Massenstromrechnung!$X$3)/2)^Konstanten!$C$18*BT15^Konstanten!$D$18*((Massenstromrechnung!$X$3+Iteration!BR15)/2)^Konstanten!$E$18+(Iteration!BR15-Massenstromrechnung!$X$3)^Konstanten!$F$18)))</f>
        <v>1056.8076815086431</v>
      </c>
      <c r="BV15" s="101">
        <f>BU15/(Massenstromrechnung!$AA25*Konstanten!$K$3/3.6)+Massenstromrechnung!$X$3</f>
        <v>13.891499746744733</v>
      </c>
      <c r="BW15" s="103" t="str">
        <f>IF(OR(Massenstromrechnung!$Y$6&lt;(BV15*50+Massenstromrechnung!$X$3)/51,(Massenstromrechnung!$Y$6-(BV15*51+Massenstromrechnung!$X$3)/51)&lt;0.7),"trocken","feucht")</f>
        <v>feucht</v>
      </c>
      <c r="BX15" s="104">
        <f>(Massenstromrechnung!$X$4-(Massenstromrechnung!$X$3+BV15)/2)^Konstanten!$E$7*$AK15*$AL15^Konstanten!$F$7*(BV15-Massenstromrechnung!$X$3)^Konstanten!$G$7*((Massenstromrechnung!$X$3+BV15)/2)^Konstanten!$H$7*(Konstanten!$C$7-(BV15-Massenstromrechnung!$X$3)^Konstanten!$I$7*Konstanten!$D$7)</f>
        <v>499.49440808032654</v>
      </c>
      <c r="BY15" s="104">
        <f>IF(BW15="trocken",BX15,IF(Konstanten!$A$18*(Massenstromrechnung!$Y$6^Konstanten!$B$18*(Massenstromrechnung!$X$4-(Iteration!BV15+Massenstromrechnung!$X$3)/2)^Konstanten!$C$18*BX15^Konstanten!$D$18*((Massenstromrechnung!$X$3+Iteration!BV15)/2)^Konstanten!$E$18+(Iteration!BV15-Massenstromrechnung!$X$3)^Konstanten!$F$18)&lt;1,BX15,BX15*Konstanten!$A$18*(Massenstromrechnung!$Y$6^Konstanten!$B$18*(Massenstromrechnung!$X$4-(Iteration!BV15+Massenstromrechnung!$X$3)/2)^Konstanten!$C$18*BX15^Konstanten!$D$18*((Massenstromrechnung!$X$3+Iteration!BV15)/2)^Konstanten!$E$18+(Iteration!BV15-Massenstromrechnung!$X$3)^Konstanten!$F$18)))</f>
        <v>662.43434280865392</v>
      </c>
      <c r="BZ15" s="101">
        <f>BY15/(Massenstromrechnung!$AA25*Konstanten!$K$3/3.6)+Massenstromrechnung!$X$3</f>
        <v>11.319769988030234</v>
      </c>
      <c r="CA15" s="103" t="str">
        <f>IF(OR(Massenstromrechnung!$Y$6&lt;(BZ15*50+Massenstromrechnung!$X$3)/51,(Massenstromrechnung!$Y$6-(BZ15*51+Massenstromrechnung!$X$3)/51)&lt;0.7),"trocken","feucht")</f>
        <v>feucht</v>
      </c>
      <c r="CB15" s="104">
        <f>(Massenstromrechnung!$X$4-(Massenstromrechnung!$X$3+BZ15)/2)^Konstanten!$E$7*$AK15*$AL15^Konstanten!$F$7*(BZ15-Massenstromrechnung!$X$3)^Konstanten!$G$7*((Massenstromrechnung!$X$3+BZ15)/2)^Konstanten!$H$7*(Konstanten!$C$7-(BZ15-Massenstromrechnung!$X$3)^Konstanten!$I$7*Konstanten!$D$7)</f>
        <v>579.86785703678981</v>
      </c>
      <c r="CC15" s="104">
        <f>IF(CA15="trocken",CB15,IF(Konstanten!$A$18*(Massenstromrechnung!$Y$6^Konstanten!$B$18*(Massenstromrechnung!$X$4-(Iteration!BZ15+Massenstromrechnung!$X$3)/2)^Konstanten!$C$18*CB15^Konstanten!$D$18*((Massenstromrechnung!$X$3+Iteration!BZ15)/2)^Konstanten!$E$18+(Iteration!BZ15-Massenstromrechnung!$X$3)^Konstanten!$F$18)&lt;1,CB15,CB15*Konstanten!$A$18*(Massenstromrechnung!$Y$6^Konstanten!$B$18*(Massenstromrechnung!$X$4-(Iteration!BZ15+Massenstromrechnung!$X$3)/2)^Konstanten!$C$18*CB15^Konstanten!$D$18*((Massenstromrechnung!$X$3+Iteration!BZ15)/2)^Konstanten!$E$18+(Iteration!BZ15-Massenstromrechnung!$X$3)^Konstanten!$F$18)))</f>
        <v>813.56743712401124</v>
      </c>
      <c r="CD15" s="101">
        <f>CC15/(Massenstromrechnung!$AA25*Konstanten!$K$3/3.6)+Massenstromrechnung!$X$3</f>
        <v>12.305317026931576</v>
      </c>
      <c r="CE15" s="103" t="str">
        <f>IF(OR(Massenstromrechnung!$Y$6&lt;(CD15*50+Massenstromrechnung!$X$3)/51,(Massenstromrechnung!$Y$6-(CD15*51+Massenstromrechnung!$X$3)/51)&lt;0.7),"trocken","feucht")</f>
        <v>feucht</v>
      </c>
      <c r="CF15" s="104">
        <f>(Massenstromrechnung!$X$4-(Massenstromrechnung!$X$3+CD15)/2)^Konstanten!$E$7*$AK15*$AL15^Konstanten!$F$7*(CD15-Massenstromrechnung!$X$3)^Konstanten!$G$7*((Massenstromrechnung!$X$3+CD15)/2)^Konstanten!$H$7*(Konstanten!$C$7-(CD15-Massenstromrechnung!$X$3)^Konstanten!$I$7*Konstanten!$D$7)</f>
        <v>545.6631437932158</v>
      </c>
      <c r="CG15" s="104">
        <f>IF(CE15="trocken",CF15,IF(Konstanten!$A$18*(Massenstromrechnung!$Y$6^Konstanten!$B$18*(Massenstromrechnung!$X$4-(Iteration!CD15+Massenstromrechnung!$X$3)/2)^Konstanten!$C$18*CF15^Konstanten!$D$18*((Massenstromrechnung!$X$3+Iteration!CD15)/2)^Konstanten!$E$18+(Iteration!CD15-Massenstromrechnung!$X$3)^Konstanten!$F$18)&lt;1,CF15,CF15*Konstanten!$A$18*(Massenstromrechnung!$Y$6^Konstanten!$B$18*(Massenstromrechnung!$X$4-(Iteration!CD15+Massenstromrechnung!$X$3)/2)^Konstanten!$C$18*CF15^Konstanten!$D$18*((Massenstromrechnung!$X$3+Iteration!CD15)/2)^Konstanten!$E$18+(Iteration!CD15-Massenstromrechnung!$X$3)^Konstanten!$F$18)))</f>
        <v>747.64854306055247</v>
      </c>
      <c r="CH15" s="101">
        <f>CG15/(Massenstromrechnung!$AA25*Konstanten!$K$3/3.6)+Massenstromrechnung!$X$3</f>
        <v>11.875456372346331</v>
      </c>
      <c r="CI15" s="103" t="str">
        <f>IF(OR(Massenstromrechnung!$Y$6&lt;(CH15*50+Massenstromrechnung!$X$3)/51,(Massenstromrechnung!$Y$6-(CH15*51+Massenstromrechnung!$X$3)/51)&lt;0.7),"trocken","feucht")</f>
        <v>feucht</v>
      </c>
      <c r="CJ15" s="104">
        <f>(Massenstromrechnung!$X$4-(Massenstromrechnung!$X$3+CH15)/2)^Konstanten!$E$7*$AK15*$AL15^Konstanten!$F$7*(CH15-Massenstromrechnung!$X$3)^Konstanten!$G$7*((Massenstromrechnung!$X$3+CH15)/2)^Konstanten!$H$7*(Konstanten!$C$7-(CH15-Massenstromrechnung!$X$3)^Konstanten!$I$7*Konstanten!$D$7)</f>
        <v>559.91648024834342</v>
      </c>
      <c r="CK15" s="104">
        <f>IF(CI15="trocken",CJ15,IF(Konstanten!$A$18*(Massenstromrechnung!$Y$6^Konstanten!$B$18*(Massenstromrechnung!$X$4-(Iteration!CH15+Massenstromrechnung!$X$3)/2)^Konstanten!$C$18*CJ15^Konstanten!$D$18*((Massenstromrechnung!$X$3+Iteration!CH15)/2)^Konstanten!$E$18+(Iteration!CH15-Massenstromrechnung!$X$3)^Konstanten!$F$18)&lt;1,CJ15,CJ15*Konstanten!$A$18*(Massenstromrechnung!$Y$6^Konstanten!$B$18*(Massenstromrechnung!$X$4-(Iteration!CH15+Massenstromrechnung!$X$3)/2)^Konstanten!$C$18*CJ15^Konstanten!$D$18*((Massenstromrechnung!$X$3+Iteration!CH15)/2)^Konstanten!$E$18+(Iteration!CH15-Massenstromrechnung!$X$3)^Konstanten!$F$18)))</f>
        <v>774.85294719171657</v>
      </c>
      <c r="CL15" s="101">
        <f>CK15/(Massenstromrechnung!$AA25*Konstanten!$K$3/3.6)+Massenstromrechnung!$X$3</f>
        <v>12.052857755266469</v>
      </c>
      <c r="CM15" s="103" t="str">
        <f>IF(OR(Massenstromrechnung!$Y$6&lt;(CL15*50+Massenstromrechnung!$X$3)/51,(Massenstromrechnung!$Y$6-(CL15*51+Massenstromrechnung!$X$3)/51)&lt;0.7),"trocken","feucht")</f>
        <v>feucht</v>
      </c>
      <c r="CN15" s="104">
        <f>(Massenstromrechnung!$X$4-(Massenstromrechnung!$X$3+CL15)/2)^Konstanten!$E$7*$AK15*$AL15^Konstanten!$F$7*(CL15-Massenstromrechnung!$X$3)^Konstanten!$G$7*((Massenstromrechnung!$X$3+CL15)/2)^Konstanten!$H$7*(Konstanten!$C$7-(CL15-Massenstromrechnung!$X$3)^Konstanten!$I$7*Konstanten!$D$7)</f>
        <v>553.92211856121912</v>
      </c>
      <c r="CO15" s="104">
        <f>IF(CM15="trocken",CN15,IF(Konstanten!$A$18*(Massenstromrechnung!$Y$6^Konstanten!$B$18*(Massenstromrechnung!$X$4-(Iteration!CL15+Massenstromrechnung!$X$3)/2)^Konstanten!$C$18*CN15^Konstanten!$D$18*((Massenstromrechnung!$X$3+Iteration!CL15)/2)^Konstanten!$E$18+(Iteration!CL15-Massenstromrechnung!$X$3)^Konstanten!$F$18)&lt;1,CN15,CN15*Konstanten!$A$18*(Massenstromrechnung!$Y$6^Konstanten!$B$18*(Massenstromrechnung!$X$4-(Iteration!CL15+Massenstromrechnung!$X$3)/2)^Konstanten!$C$18*CN15^Konstanten!$D$18*((Massenstromrechnung!$X$3+Iteration!CL15)/2)^Konstanten!$E$18+(Iteration!CL15-Massenstromrechnung!$X$3)^Konstanten!$F$18)))</f>
        <v>763.36408972815013</v>
      </c>
      <c r="CP15" s="101">
        <f>IF(CO15/(Massenstromrechnung!$AA25*Konstanten!$K$3/3.6)+Massenstromrechnung!$X$3-Massenstromrechnung!$X$3&lt;1.4,"RLT zu niedrig",CO15/(Massenstromrechnung!$AA25*Konstanten!$K$3/3.6)+Massenstromrechnung!$X$3)</f>
        <v>11.97793829765283</v>
      </c>
      <c r="CQ15" s="103" t="str">
        <f>IF(CP15="RLT zu niedrig","RLT zu niedrig",IF(OR(Massenstromrechnung!$Y$6&lt;(CP15*50+Massenstromrechnung!$X$3)/51,(Massenstromrechnung!$Y$6-(CP15*51+Massenstromrechnung!$X$3)/51)&lt;0.7),"trocken","feucht"))</f>
        <v>feucht</v>
      </c>
      <c r="CR15" s="104">
        <f>IF(CP15="RLT zu niedrig","RLT zu niedrig",(Massenstromrechnung!$X$4-(Massenstromrechnung!$X$3+CP15)/2)^Konstanten!$E$7*$AK15*$AL15^Konstanten!$F$7*(CP15-Massenstromrechnung!$X$3)^Konstanten!$G$7*((Massenstromrechnung!$X$3+CP15)/2)^Konstanten!$H$7*(Konstanten!$C$7-(CP15-Massenstromrechnung!$X$3)^Konstanten!$I$7*Konstanten!$D$7))</f>
        <v>556.43354756809265</v>
      </c>
      <c r="CS15" s="104">
        <f>IF(CP15="RLT zu niedrig","RLT zu niedrig",IF(CQ15="trocken",CR15,IF(Konstanten!$A$18*(Massenstromrechnung!$Y$6^Konstanten!$B$18*(Massenstromrechnung!$X$4-(Iteration!CP15+Massenstromrechnung!$X$3)/2)^Konstanten!$C$18*CR15^Konstanten!$D$18*((Massenstromrechnung!$X$3+Iteration!CP15)/2)^Konstanten!$E$18+(Iteration!CP15-Massenstromrechnung!$X$3)^Konstanten!$F$18)&lt;1,CR15,CR15*Konstanten!$A$18*(Massenstromrechnung!$Y$6^Konstanten!$B$18*(Massenstromrechnung!$X$4-(Iteration!CP15+Massenstromrechnung!$X$3)/2)^Konstanten!$C$18*CR15^Konstanten!$D$18*((Massenstromrechnung!$X$3+Iteration!CP15)/2)^Konstanten!$E$18+(Iteration!CP15-Massenstromrechnung!$X$3)^Konstanten!$F$18))))</f>
        <v>768.16920536737405</v>
      </c>
    </row>
    <row r="16" spans="1:97" x14ac:dyDescent="0.3">
      <c r="A16">
        <f>Massenstromrechnung!B26</f>
        <v>1130</v>
      </c>
      <c r="B16" s="78">
        <v>315</v>
      </c>
      <c r="C16" s="103">
        <f>IF(Massenstromrechnung!$K$3-10&lt;=Massenstromrechnung!$K$4,Massenstromrechnung!$K$3-0.75*(Massenstromrechnung!$K$3-Massenstromrechnung!$K$4),Massenstromrechnung!$K$3-10)</f>
        <v>65</v>
      </c>
      <c r="D16" s="103">
        <f>-1*((Massenstromrechnung!$K$3+C16)/2-Massenstromrechnung!$K$4)^Konstanten!$E$4*Massenstromrechnung!$B26*Massenstromrechnung!$C26^Konstanten!$F$4*(Massenstromrechnung!$K$3-C16)^Konstanten!$G$4*((Massenstromrechnung!$K$3+C16)/2)^Konstanten!$H$4*(Konstanten!$C$4-((Massenstromrechnung!$K$3-C16)^Konstanten!$I$4*Konstanten!$D$4))/(Massenstromrechnung!$F26*Konstanten!$K$3/3.6)+Massenstromrechnung!$K$3</f>
        <v>65</v>
      </c>
      <c r="E16" s="103">
        <f t="shared" si="6"/>
        <v>65</v>
      </c>
      <c r="F16" s="103">
        <f>-1*((Massenstromrechnung!$K$3+E16)/2-Massenstromrechnung!$K$4)^Konstanten!$E$4*Massenstromrechnung!$B26*Massenstromrechnung!$C26^Konstanten!$F$4*(Massenstromrechnung!$K$3-E16)^Konstanten!$G$4*((Massenstromrechnung!$K$3+E16)/2)^Konstanten!$H$4*(Konstanten!$C$4-((Massenstromrechnung!$K$3-E16)^Konstanten!$I$4*Konstanten!$D$4))/(Massenstromrechnung!$F26*Konstanten!$K$3/3.6)+Massenstromrechnung!$K$3</f>
        <v>65</v>
      </c>
      <c r="G16" s="103">
        <f t="shared" si="0"/>
        <v>65</v>
      </c>
      <c r="H16" s="103">
        <f>-1*((Massenstromrechnung!$K$3+G16)/2-Massenstromrechnung!$K$4)^Konstanten!$E$4*Massenstromrechnung!$B26*Massenstromrechnung!$C26^Konstanten!$F$4*(Massenstromrechnung!$K$3-G16)^Konstanten!$G$4*((Massenstromrechnung!$K$3+G16)/2)^Konstanten!$H$4*(Konstanten!$C$4-((Massenstromrechnung!$K$3-G16)^Konstanten!$I$4*Konstanten!$D$4))/(Massenstromrechnung!$F26*Konstanten!$K$3/3.6)+Massenstromrechnung!$K$3</f>
        <v>65</v>
      </c>
      <c r="I16" s="103">
        <f t="shared" si="1"/>
        <v>65</v>
      </c>
      <c r="J16" s="103">
        <f>-1*((Massenstromrechnung!$K$3+I16)/2-Massenstromrechnung!$K$4)^Konstanten!$E$4*Massenstromrechnung!$B26*Massenstromrechnung!$C26^Konstanten!$F$4*(Massenstromrechnung!$K$3-I16)^Konstanten!$G$4*((Massenstromrechnung!$K$3+I16)/2)^Konstanten!$H$4*(Konstanten!$C$4-((Massenstromrechnung!$K$3-I16)^Konstanten!$I$4*Konstanten!$D$4))/(Massenstromrechnung!$F26*Konstanten!$K$3/3.6)+Massenstromrechnung!$K$3</f>
        <v>65</v>
      </c>
      <c r="K16" s="103">
        <f t="shared" si="2"/>
        <v>65</v>
      </c>
      <c r="L16" s="103">
        <f>-1*((Massenstromrechnung!$K$3+K16)/2-Massenstromrechnung!$K$4)^Konstanten!$E$4*Massenstromrechnung!$B26*Massenstromrechnung!$C26^Konstanten!$F$4*(Massenstromrechnung!$K$3-K16)^Konstanten!$G$4*((Massenstromrechnung!$K$3+K16)/2)^Konstanten!$H$4*(Konstanten!$C$4-((Massenstromrechnung!$K$3-K16)^Konstanten!$I$4*Konstanten!$D$4))/(Massenstromrechnung!$F26*Konstanten!$K$3/3.6)+Massenstromrechnung!$K$3</f>
        <v>65</v>
      </c>
      <c r="N16">
        <f>'Katalogdaten M3G045'!B30</f>
        <v>1130</v>
      </c>
      <c r="O16" s="78">
        <v>315</v>
      </c>
      <c r="P16" s="103">
        <f>IF(Massenstromrechnung!$K$3-10&lt;=Massenstromrechnung!$K$4,Massenstromrechnung!$K$3-0.75*(Massenstromrechnung!$K$3-Massenstromrechnung!$K$4),Massenstromrechnung!$K$3-10)</f>
        <v>65</v>
      </c>
      <c r="Q16" s="103" t="e">
        <f>-1*((Massenstromrechnung!$K$3+P16)/2-Massenstromrechnung!$K$4)^Konstanten!$E$4*Massenstromrechnung!$B26*Massenstromrechnung!$C26^Konstanten!$F$4*(Massenstromrechnung!$K$3-P16)^Konstanten!$G$4*((Massenstromrechnung!$K$3+P16)/2)^Konstanten!$H$4*(Konstanten!$C$4-((Massenstromrechnung!$K$3-P16)^Konstanten!$I$4*Konstanten!$D$4))/(Massenstromrechnung!#REF!*Konstanten!$K$3/3.6)+Massenstromrechnung!$K$3</f>
        <v>#REF!</v>
      </c>
      <c r="R16" s="103" t="e">
        <f t="shared" si="7"/>
        <v>#REF!</v>
      </c>
      <c r="S16" s="103" t="e">
        <f>-1*((Massenstromrechnung!$K$3+R16)/2-Massenstromrechnung!$K$4)^Konstanten!$E$4*Massenstromrechnung!$B26*Massenstromrechnung!$C26^Konstanten!$F$4*(Massenstromrechnung!$K$3-R16)^Konstanten!$G$4*((Massenstromrechnung!$K$3+R16)/2)^Konstanten!$H$4*(Konstanten!$C$4-((Massenstromrechnung!$K$3-R16)^Konstanten!$I$4*Konstanten!$D$4))/(Massenstromrechnung!#REF!*Konstanten!$K$3/3.6)+Massenstromrechnung!$K$3</f>
        <v>#REF!</v>
      </c>
      <c r="T16" s="103" t="e">
        <f t="shared" si="3"/>
        <v>#REF!</v>
      </c>
      <c r="U16" s="103" t="e">
        <f>-1*((Massenstromrechnung!$K$3+T16)/2-Massenstromrechnung!$K$4)^Konstanten!$E$4*Massenstromrechnung!$B26*Massenstromrechnung!$C26^Konstanten!$F$4*(Massenstromrechnung!$K$3-T16)^Konstanten!$G$4*((Massenstromrechnung!$K$3+T16)/2)^Konstanten!$H$4*(Konstanten!$C$4-((Massenstromrechnung!$K$3-T16)^Konstanten!$I$4*Konstanten!$D$4))/(Massenstromrechnung!#REF!*Konstanten!$K$3/3.6)+Massenstromrechnung!$K$3</f>
        <v>#REF!</v>
      </c>
      <c r="V16" s="103" t="e">
        <f t="shared" si="4"/>
        <v>#REF!</v>
      </c>
      <c r="W16" s="103" t="e">
        <f>-1*((Massenstromrechnung!$K$3+V16)/2-Massenstromrechnung!$K$4)^Konstanten!$E$4*Massenstromrechnung!$B26*Massenstromrechnung!$C26^Konstanten!$F$4*(Massenstromrechnung!$K$3-V16)^Konstanten!$G$4*((Massenstromrechnung!$K$3+V16)/2)^Konstanten!$H$4*(Konstanten!$C$4-((Massenstromrechnung!$K$3-V16)^Konstanten!$I$4*Konstanten!$D$4))/(Massenstromrechnung!#REF!*Konstanten!$K$3/3.6)+Massenstromrechnung!$K$3</f>
        <v>#REF!</v>
      </c>
      <c r="X16" s="103" t="e">
        <f t="shared" si="5"/>
        <v>#REF!</v>
      </c>
      <c r="Y16" s="103" t="e">
        <f>-1*((Massenstromrechnung!$K$3+X16)/2-Massenstromrechnung!$K$4)^Konstanten!$E$4*Massenstromrechnung!$B26*Massenstromrechnung!$C26^Konstanten!$F$4*(Massenstromrechnung!$K$3-X16)^Konstanten!$G$4*((Massenstromrechnung!$K$3+X16)/2)^Konstanten!$H$4*(Konstanten!$C$4-((Massenstromrechnung!$K$3-X16)^Konstanten!$I$4*Konstanten!$D$4))/(Massenstromrechnung!#REF!*Konstanten!$K$3/3.6)+Massenstromrechnung!$K$3</f>
        <v>#REF!</v>
      </c>
      <c r="AA16">
        <f t="shared" si="8"/>
        <v>1130</v>
      </c>
      <c r="AB16">
        <f t="shared" si="8"/>
        <v>315</v>
      </c>
      <c r="AC16" s="103">
        <f>IF(Massenstromrechnung!$K$3-10&lt;=Massenstromrechnung!$K$4,Massenstromrechnung!$K$3-0.75*(Massenstromrechnung!$K$3-Massenstromrechnung!$K$4),Massenstromrechnung!$K$3-10)</f>
        <v>65</v>
      </c>
      <c r="AD16" s="103">
        <f>-1*((Massenstromrechnung!$K$3+AC16)/2-Massenstromrechnung!$K$4)^Konstanten!$E$5*$AA16*$AB16^Konstanten!$F$5*(Massenstromrechnung!$K$3-AC16)^Konstanten!$G$5*((Massenstromrechnung!$K$3+AC16)/2)^Konstanten!$H$5*(Konstanten!$C$5-((Massenstromrechnung!$K$3-AC16)^Konstanten!$I$5*Konstanten!$D$5))/(Massenstromrechnung!$L26*Konstanten!$K$3/3.6)+Massenstromrechnung!$K$3</f>
        <v>65</v>
      </c>
      <c r="AE16" s="103">
        <f>-1*((Massenstromrechnung!$K$3+AD16)/2-Massenstromrechnung!$K$4)^Konstanten!$E$5*$AA16*$AB16^Konstanten!$F$5*(Massenstromrechnung!$K$3-AD16)^Konstanten!$G$5*((Massenstromrechnung!$K$3+AD16)/2)^Konstanten!$H$5*(Konstanten!$C$5-((Massenstromrechnung!$K$3-AD16)^Konstanten!$I$5*Konstanten!$D$5))/(Massenstromrechnung!$L26*Konstanten!$K$3/3.6)+Massenstromrechnung!$K$3</f>
        <v>65</v>
      </c>
      <c r="AF16" s="103">
        <f>-1*((Massenstromrechnung!$K$3+AE16)/2-Massenstromrechnung!$K$4)^Konstanten!$E$5*$AA16*$AB16^Konstanten!$F$5*(Massenstromrechnung!$K$3-AE16)^Konstanten!$G$5*((Massenstromrechnung!$K$3+AE16)/2)^Konstanten!$H$5*(Konstanten!$C$5-((Massenstromrechnung!$K$3-AE16)^Konstanten!$I$5*Konstanten!$D$5))/(Massenstromrechnung!$L26*Konstanten!$K$3/3.6)+Massenstromrechnung!$K$3</f>
        <v>65</v>
      </c>
      <c r="AG16" s="103">
        <f>-1*((Massenstromrechnung!$K$3+AF16)/2-Massenstromrechnung!$K$4)^Konstanten!$E$5*$AA16*$AB16^Konstanten!$F$5*(Massenstromrechnung!$K$3-AF16)^Konstanten!$G$5*((Massenstromrechnung!$K$3+AF16)/2)^Konstanten!$H$5*(Konstanten!$C$5-((Massenstromrechnung!$K$3-AF16)^Konstanten!$I$5*Konstanten!$D$5))/(Massenstromrechnung!$L26*Konstanten!$K$3/3.6)+Massenstromrechnung!$K$3</f>
        <v>65</v>
      </c>
      <c r="AH16" s="103">
        <f>-1*((Massenstromrechnung!$K$3+AG16)/2-Massenstromrechnung!$K$4)^Konstanten!$E$5*$AA16*$AB16^Konstanten!$F$5*(Massenstromrechnung!$K$3-AG16)^Konstanten!$G$5*((Massenstromrechnung!$K$3+AG16)/2)^Konstanten!$H$5*(Konstanten!$C$5-((Massenstromrechnung!$K$3-AG16)^Konstanten!$I$5*Konstanten!$D$5))/(Massenstromrechnung!$L26*Konstanten!$K$3/3.6)+Massenstromrechnung!$K$3</f>
        <v>65</v>
      </c>
      <c r="AI16" s="103">
        <f>-1*((Massenstromrechnung!$K$3+AH16)/2-Massenstromrechnung!$K$4)^Konstanten!$E$5*$AA16*$AB16^Konstanten!$F$5*(Massenstromrechnung!$K$3-AH16)^Konstanten!$G$5*((Massenstromrechnung!$K$3+AH16)/2)^Konstanten!$H$5*(Konstanten!$C$5-((Massenstromrechnung!$K$3-AH16)^Konstanten!$I$5*Konstanten!$D$5))/(Massenstromrechnung!$L26*Konstanten!$K$3/3.6)+Massenstromrechnung!$K$3</f>
        <v>65</v>
      </c>
      <c r="AK16">
        <f t="shared" si="9"/>
        <v>1130</v>
      </c>
      <c r="AL16">
        <f t="shared" si="9"/>
        <v>315</v>
      </c>
      <c r="AM16" s="103">
        <f>Massenstromrechnung!$X$3+2</f>
        <v>9</v>
      </c>
      <c r="AN16" s="103" t="str">
        <f>IF(OR(Massenstromrechnung!$Y$6&lt;(AM16*50+Massenstromrechnung!$X$3)/51,(Massenstromrechnung!$Y$6-(AM16*51+Massenstromrechnung!$X$3)/51)&lt;0.7),"trocken","feucht")</f>
        <v>feucht</v>
      </c>
      <c r="AO16" s="104">
        <f>(Massenstromrechnung!$X$4-(Massenstromrechnung!$X$3+AM16)/2)^Konstanten!$E$6*$AK16*$AL16^Konstanten!$F$6*(AM16-Massenstromrechnung!$X$3)^Konstanten!$G$6*((Massenstromrechnung!$X$3+AM16)/2)^Konstanten!$H$6*(Konstanten!$C$6-(AM16-Massenstromrechnung!$X$3)^Konstanten!$I$6*Konstanten!$D$6)</f>
        <v>327.28143019676929</v>
      </c>
      <c r="AP16" s="104">
        <f>IF(AN16="trocken",AO16,IF(Konstanten!$A$18*(Massenstromrechnung!$Y$6^Konstanten!$B$18*(Massenstromrechnung!$X$4-(Iteration!AM16+Massenstromrechnung!$X$3)/2)^Konstanten!$C$18*AO16^Konstanten!$D$18*((Massenstromrechnung!$X$3+Iteration!AM16)/2)^Konstanten!$E$18+(Iteration!AM16-Massenstromrechnung!$X$3)^Konstanten!$F$18)&lt;1,AO16,AO16*Konstanten!$A$18*(Massenstromrechnung!$Y$6^Konstanten!$B$18*(Massenstromrechnung!$X$4-(Iteration!AM16+Massenstromrechnung!$X$3)/2)^Konstanten!$C$18*AO16^Konstanten!$D$18*((Massenstromrechnung!$X$3+Iteration!AM16)/2)^Konstanten!$E$18+(Iteration!AM16-Massenstromrechnung!$X$3)^Konstanten!$F$18)))</f>
        <v>506.0811058261329</v>
      </c>
      <c r="AQ16" s="101">
        <f>AP16/(Massenstromrechnung!$R26*Konstanten!$K$3/3.6)+Massenstromrechnung!$X$3</f>
        <v>13.210697244382052</v>
      </c>
      <c r="AR16" s="103" t="str">
        <f>IF(OR(Massenstromrechnung!$Y$6&lt;(AQ16*50+Massenstromrechnung!$X$3)/51,(Massenstromrechnung!$Y$6-(AQ16*51+Massenstromrechnung!$X$3)/51)&lt;0.7),"trocken","feucht")</f>
        <v>feucht</v>
      </c>
      <c r="AS16" s="104">
        <f>(Massenstromrechnung!$X$4-(Massenstromrechnung!$X$3+AQ16)/2)^Konstanten!$E$6*$AK16*$AL16^Konstanten!$F$6*(AQ16-Massenstromrechnung!$X$3)^Konstanten!$G$6*((Massenstromrechnung!$X$3+AQ16)/2)^Konstanten!$H$6*(Konstanten!$C$6-(AQ16-Massenstromrechnung!$X$3)^Konstanten!$I$6*Konstanten!$D$6)</f>
        <v>273.53025375188099</v>
      </c>
      <c r="AT16" s="104">
        <f>IF(AR16="trocken",AS16,IF(Konstanten!$A$18*(Massenstromrechnung!$Y$6^Konstanten!$B$18*(Massenstromrechnung!$X$4-(Iteration!AQ16+Massenstromrechnung!$X$3)/2)^Konstanten!$C$18*AS16^Konstanten!$D$18*((Massenstromrechnung!$X$3+Iteration!AQ16)/2)^Konstanten!$E$18+(Iteration!AQ16-Massenstromrechnung!$X$3)^Konstanten!$F$18)&lt;1,AS16,AS16*Konstanten!$A$18*(Massenstromrechnung!$Y$6^Konstanten!$B$18*(Massenstromrechnung!$X$4-(Iteration!AQ16+Massenstromrechnung!$X$3)/2)^Konstanten!$C$18*AS16^Konstanten!$D$18*((Massenstromrechnung!$X$3+Iteration!AQ16)/2)^Konstanten!$E$18+(Iteration!AQ16-Massenstromrechnung!$X$3)^Konstanten!$F$18)))</f>
        <v>374.70824905792568</v>
      </c>
      <c r="AU16" s="101">
        <f>AT16/(Massenstromrechnung!$R26*Konstanten!$K$3/3.6)+Massenstromrechnung!$X$3</f>
        <v>11.59847139733133</v>
      </c>
      <c r="AV16" s="103" t="str">
        <f>IF(OR(Massenstromrechnung!$Y$6&lt;(AU16*50+Massenstromrechnung!$X$3)/51,(Massenstromrechnung!$Y$6-(AU16*51+Massenstromrechnung!$X$3)/51)&lt;0.7),"trocken","feucht")</f>
        <v>feucht</v>
      </c>
      <c r="AW16" s="104">
        <f>(Massenstromrechnung!$X$4-(Massenstromrechnung!$X$3+AU16)/2)^Konstanten!$E$6*$AK16*$AL16^Konstanten!$F$6*(AU16-Massenstromrechnung!$X$3)^Konstanten!$G$6*((Massenstromrechnung!$X$3+AU16)/2)^Konstanten!$H$6*(Konstanten!$C$6-(AU16-Massenstromrechnung!$X$3)^Konstanten!$I$6*Konstanten!$D$6)</f>
        <v>295.15432362147067</v>
      </c>
      <c r="AX16" s="104">
        <f>IF(AV16="trocken",AW16,IF(Konstanten!$A$18*(Massenstromrechnung!$Y$6^Konstanten!$B$18*(Massenstromrechnung!$X$4-(Iteration!AU16+Massenstromrechnung!$X$3)/2)^Konstanten!$C$18*AW16^Konstanten!$D$18*((Massenstromrechnung!$X$3+Iteration!AU16)/2)^Konstanten!$E$18+(Iteration!AU16-Massenstromrechnung!$X$3)^Konstanten!$F$18)&lt;1,AW16,AW16*Konstanten!$A$18*(Massenstromrechnung!$Y$6^Konstanten!$B$18*(Massenstromrechnung!$X$4-(Iteration!AU16+Massenstromrechnung!$X$3)/2)^Konstanten!$C$18*AW16^Konstanten!$D$18*((Massenstromrechnung!$X$3+Iteration!AU16)/2)^Konstanten!$E$18+(Iteration!AU16-Massenstromrechnung!$X$3)^Konstanten!$F$18)))</f>
        <v>419.33277483593093</v>
      </c>
      <c r="AY16" s="101">
        <f>AX16/(Massenstromrechnung!$R26*Konstanten!$K$3/3.6)+Massenstromrechnung!$X$3</f>
        <v>12.146109742431946</v>
      </c>
      <c r="AZ16" s="103" t="str">
        <f>IF(OR(Massenstromrechnung!$Y$6&lt;(AY16*50+Massenstromrechnung!$X$3)/51,(Massenstromrechnung!$Y$6-(AY16*51+Massenstromrechnung!$X$3)/51)&lt;0.7),"trocken","feucht")</f>
        <v>feucht</v>
      </c>
      <c r="BA16" s="104">
        <f>(Massenstromrechnung!$X$4-(Massenstromrechnung!$X$3+AY16)/2)^Konstanten!$E$6*$AK16*$AL16^Konstanten!$F$6*(AY16-Massenstromrechnung!$X$3)^Konstanten!$G$6*((Massenstromrechnung!$X$3+AY16)/2)^Konstanten!$H$6*(Konstanten!$C$6-(AY16-Massenstromrechnung!$X$3)^Konstanten!$I$6*Konstanten!$D$6)</f>
        <v>287.59979996180812</v>
      </c>
      <c r="BB16" s="104">
        <f>IF(AZ16="trocken",BA16,IF(Konstanten!$A$18*(Massenstromrechnung!$Y$6^Konstanten!$B$18*(Massenstromrechnung!$X$4-(Iteration!AY16+Massenstromrechnung!$X$3)/2)^Konstanten!$C$18*BA16^Konstanten!$D$18*((Massenstromrechnung!$X$3+Iteration!AY16)/2)^Konstanten!$E$18+(Iteration!AY16-Massenstromrechnung!$X$3)^Konstanten!$F$18)&lt;1,BA16,BA16*Konstanten!$A$18*(Massenstromrechnung!$Y$6^Konstanten!$B$18*(Massenstromrechnung!$X$4-(Iteration!AY16+Massenstromrechnung!$X$3)/2)^Konstanten!$C$18*BA16^Konstanten!$D$18*((Massenstromrechnung!$X$3+Iteration!AY16)/2)^Konstanten!$E$18+(Iteration!AY16-Massenstromrechnung!$X$3)^Konstanten!$F$18)))</f>
        <v>403.23120768601279</v>
      </c>
      <c r="BC16" s="101">
        <f>BB16/(Massenstromrechnung!$R26*Konstanten!$K$3/3.6)+Massenstromrechnung!$X$3</f>
        <v>11.948509085981861</v>
      </c>
      <c r="BD16" s="103" t="str">
        <f>IF(OR(Massenstromrechnung!$Y$6&lt;(BC16*50+Massenstromrechnung!$X$3)/51,(Massenstromrechnung!$Y$6-(BC16*51+Massenstromrechnung!$X$3)/51)&lt;0.7),"trocken","feucht")</f>
        <v>feucht</v>
      </c>
      <c r="BE16" s="104">
        <f>(Massenstromrechnung!$X$4-(Massenstromrechnung!$X$3+BC16)/2)^Konstanten!$E$6*$AK16*$AL16^Konstanten!$F$6*(BC16-Massenstromrechnung!$X$3)^Konstanten!$G$6*((Massenstromrechnung!$X$3+BC16)/2)^Konstanten!$H$6*(Konstanten!$C$6-(BC16-Massenstromrechnung!$X$3)^Konstanten!$I$6*Konstanten!$D$6)</f>
        <v>290.30346170521005</v>
      </c>
      <c r="BF16" s="104">
        <f>IF(BD16="trocken",BE16,IF(Konstanten!$A$18*(Massenstromrechnung!$Y$6^Konstanten!$B$18*(Massenstromrechnung!$X$4-(Iteration!BC16+Massenstromrechnung!$X$3)/2)^Konstanten!$C$18*BE16^Konstanten!$D$18*((Massenstromrechnung!$X$3+Iteration!BC16)/2)^Konstanten!$E$18+(Iteration!BC16-Massenstromrechnung!$X$3)^Konstanten!$F$18)&lt;1,BE16,BE16*Konstanten!$A$18*(Massenstromrechnung!$Y$6^Konstanten!$B$18*(Massenstromrechnung!$X$4-(Iteration!BC16+Massenstromrechnung!$X$3)/2)^Konstanten!$C$18*BE16^Konstanten!$D$18*((Massenstromrechnung!$X$3+Iteration!BC16)/2)^Konstanten!$E$18+(Iteration!BC16-Massenstromrechnung!$X$3)^Konstanten!$F$18)))</f>
        <v>408.92274766806997</v>
      </c>
      <c r="BG16" s="101">
        <f>BF16/(Massenstromrechnung!$R26*Konstanten!$K$3/3.6)+Massenstromrechnung!$X$3</f>
        <v>12.018356450911934</v>
      </c>
      <c r="BH16" s="103" t="str">
        <f>IF(OR(Massenstromrechnung!$Y$6&lt;(BG16*50+Massenstromrechnung!$X$3)/51,(Massenstromrechnung!$Y$6-(BG16*51+Massenstromrechnung!$X$3)/51)&lt;0.7),"trocken","feucht")</f>
        <v>feucht</v>
      </c>
      <c r="BI16" s="104">
        <f>(Massenstromrechnung!$X$4-(Massenstromrechnung!$X$3+BG16)/2)^Konstanten!$E$6*$AK16*$AL16^Konstanten!$F$6*(BG16-Massenstromrechnung!$X$3)^Konstanten!$G$6*((Massenstromrechnung!$X$3+BG16)/2)^Konstanten!$H$6*(Konstanten!$C$6-(BG16-Massenstromrechnung!$X$3)^Konstanten!$I$6*Konstanten!$D$6)</f>
        <v>289.34473028625388</v>
      </c>
      <c r="BJ16" s="104">
        <f>IF(BH16="trocken",BI16,IF(Konstanten!$A$18*(Massenstromrechnung!$Y$6^Konstanten!$B$18*(Massenstromrechnung!$X$4-(Iteration!BG16+Massenstromrechnung!$X$3)/2)^Konstanten!$C$18*BI16^Konstanten!$D$18*((Massenstromrechnung!$X$3+Iteration!BG16)/2)^Konstanten!$E$18+(Iteration!BG16-Massenstromrechnung!$X$3)^Konstanten!$F$18)&lt;1,BI16,BI16*Konstanten!$A$18*(Massenstromrechnung!$Y$6^Konstanten!$B$18*(Massenstromrechnung!$X$4-(Iteration!BG16+Massenstromrechnung!$X$3)/2)^Konstanten!$C$18*BI16^Konstanten!$D$18*((Massenstromrechnung!$X$3+Iteration!BG16)/2)^Konstanten!$E$18+(Iteration!BG16-Massenstromrechnung!$X$3)^Konstanten!$F$18)))</f>
        <v>406.89589191327963</v>
      </c>
      <c r="BK16" s="101">
        <f>IF(BJ16/(Massenstromrechnung!$R26*Konstanten!$K$3/3.6)+Massenstromrechnung!$X$3-Massenstromrechnung!$X$3&lt;1.4,"RLT zu niedrig",BJ16/(Massenstromrechnung!$R26*Konstanten!$K$3/3.6)+Massenstromrechnung!$X$3)</f>
        <v>11.993482597084716</v>
      </c>
      <c r="BL16" s="103" t="str">
        <f>IF(BK16="RLT zu niedrig","RLT zu niedrig",IF(OR(Massenstromrechnung!$Y$6&lt;(BK16*50+Massenstromrechnung!$X$3)/51,(Massenstromrechnung!$Y$6-(BK16*51+Massenstromrechnung!$X$3)/51)&lt;0.7),"trocken","feucht"))</f>
        <v>feucht</v>
      </c>
      <c r="BM16" s="104">
        <f>IF(BK16="RLT zu niedrig","RLT zu niedrig",(Massenstromrechnung!$X$4-(Massenstromrechnung!$X$3+BK16)/2)^Konstanten!$E$6*$AK16*$AL16^Konstanten!$F$6*(BK16-Massenstromrechnung!$X$3)^Konstanten!$G$6*((Massenstromrechnung!$X$3+BK16)/2)^Konstanten!$H$6*(Konstanten!$C$6-(BK16-Massenstromrechnung!$X$3)^Konstanten!$I$6*Konstanten!$D$6))</f>
        <v>289.68577600082364</v>
      </c>
      <c r="BN16" s="104">
        <f>IF(BK16="RLT zu niedrig","RLT zu niedrig",IF(BL16="trocken",BM16,IF(Konstanten!$A$18*(Massenstromrechnung!$Y$6^Konstanten!$B$18*(Massenstromrechnung!$X$4-(Iteration!BK16+Massenstromrechnung!$X$3)/2)^Konstanten!$C$18*BM16^Konstanten!$D$18*((Massenstromrechnung!$X$3+Iteration!BK16)/2)^Konstanten!$E$18+(Iteration!BK16-Massenstromrechnung!$X$3)^Konstanten!$F$18)&lt;1,BM16,BM16*Konstanten!$A$18*(Massenstromrechnung!$Y$6^Konstanten!$B$18*(Massenstromrechnung!$X$4-(Iteration!BK16+Massenstromrechnung!$X$3)/2)^Konstanten!$C$18*BM16^Konstanten!$D$18*((Massenstromrechnung!$X$3+Iteration!BK16)/2)^Konstanten!$E$18+(Iteration!BK16-Massenstromrechnung!$X$3)^Konstanten!$F$18))))</f>
        <v>407.61579507214816</v>
      </c>
      <c r="BO16" s="101"/>
      <c r="BP16">
        <f t="shared" si="10"/>
        <v>1130</v>
      </c>
      <c r="BQ16">
        <f t="shared" si="10"/>
        <v>315</v>
      </c>
      <c r="BR16" s="103">
        <f>Massenstromrechnung!$X$3+2</f>
        <v>9</v>
      </c>
      <c r="BS16" s="103" t="str">
        <f>IF(OR(Massenstromrechnung!$Y$6&lt;(BR16*50+Massenstromrechnung!$X$3)/51,(Massenstromrechnung!$Y$6-(BR16*51+Massenstromrechnung!$X$3)/51)&lt;0.7),"trocken","feucht")</f>
        <v>feucht</v>
      </c>
      <c r="BT16" s="104">
        <f>(Massenstromrechnung!$X$4-(Massenstromrechnung!$X$3+BR16)/2)^Konstanten!$E$7*$AK16*$AL16^Konstanten!$F$7*(BR16-Massenstromrechnung!$X$3)^Konstanten!$G$7*((Massenstromrechnung!$X$3+BR16)/2)^Konstanten!$H$7*(Konstanten!$C$7-(BR16-Massenstromrechnung!$X$3)^Konstanten!$I$7*Konstanten!$D$7)</f>
        <v>364.64431136011837</v>
      </c>
      <c r="BU16" s="104">
        <f>IF(BS16="trocken",BT16,IF(Konstanten!$A$18*(Massenstromrechnung!$Y$6^Konstanten!$B$18*(Massenstromrechnung!$X$4-(Iteration!BR16+Massenstromrechnung!$X$3)/2)^Konstanten!$C$18*BT16^Konstanten!$D$18*((Massenstromrechnung!$X$3+Iteration!BR16)/2)^Konstanten!$E$18+(Iteration!BR16-Massenstromrechnung!$X$3)^Konstanten!$F$18)&lt;1,BT16,BT16*Konstanten!$A$18*(Massenstromrechnung!$Y$6^Konstanten!$B$18*(Massenstromrechnung!$X$4-(Iteration!BR16+Massenstromrechnung!$X$3)/2)^Konstanten!$C$18*BT16^Konstanten!$D$18*((Massenstromrechnung!$X$3+Iteration!BR16)/2)^Konstanten!$E$18+(Iteration!BR16-Massenstromrechnung!$X$3)^Konstanten!$F$18)))</f>
        <v>562.09003075505666</v>
      </c>
      <c r="BV16" s="101">
        <f>BU16/(Massenstromrechnung!$AA26*Konstanten!$K$3/3.6)+Massenstromrechnung!$X$3</f>
        <v>13.887844475975429</v>
      </c>
      <c r="BW16" s="103" t="str">
        <f>IF(OR(Massenstromrechnung!$Y$6&lt;(BV16*50+Massenstromrechnung!$X$3)/51,(Massenstromrechnung!$Y$6-(BV16*51+Massenstromrechnung!$X$3)/51)&lt;0.7),"trocken","feucht")</f>
        <v>feucht</v>
      </c>
      <c r="BX16" s="104">
        <f>(Massenstromrechnung!$X$4-(Massenstromrechnung!$X$3+BV16)/2)^Konstanten!$E$7*$AK16*$AL16^Konstanten!$F$7*(BV16-Massenstromrechnung!$X$3)^Konstanten!$G$7*((Massenstromrechnung!$X$3+BV16)/2)^Konstanten!$H$7*(Konstanten!$C$7-(BV16-Massenstromrechnung!$X$3)^Konstanten!$I$7*Konstanten!$D$7)</f>
        <v>260.75788645320551</v>
      </c>
      <c r="BY16" s="104">
        <f>IF(BW16="trocken",BX16,IF(Konstanten!$A$18*(Massenstromrechnung!$Y$6^Konstanten!$B$18*(Massenstromrechnung!$X$4-(Iteration!BV16+Massenstromrechnung!$X$3)/2)^Konstanten!$C$18*BX16^Konstanten!$D$18*((Massenstromrechnung!$X$3+Iteration!BV16)/2)^Konstanten!$E$18+(Iteration!BV16-Massenstromrechnung!$X$3)^Konstanten!$F$18)&lt;1,BX16,BX16*Konstanten!$A$18*(Massenstromrechnung!$Y$6^Konstanten!$B$18*(Massenstromrechnung!$X$4-(Iteration!BV16+Massenstromrechnung!$X$3)/2)^Konstanten!$C$18*BX16^Konstanten!$D$18*((Massenstromrechnung!$X$3+Iteration!BV16)/2)^Konstanten!$E$18+(Iteration!BV16-Massenstromrechnung!$X$3)^Konstanten!$F$18)))</f>
        <v>352.65644056931228</v>
      </c>
      <c r="BZ16" s="101">
        <f>BY16/(Massenstromrechnung!$AA26*Konstanten!$K$3/3.6)+Massenstromrechnung!$X$3</f>
        <v>11.321447780935657</v>
      </c>
      <c r="CA16" s="103" t="str">
        <f>IF(OR(Massenstromrechnung!$Y$6&lt;(BZ16*50+Massenstromrechnung!$X$3)/51,(Massenstromrechnung!$Y$6-(BZ16*51+Massenstromrechnung!$X$3)/51)&lt;0.7),"trocken","feucht")</f>
        <v>feucht</v>
      </c>
      <c r="CB16" s="104">
        <f>(Massenstromrechnung!$X$4-(Massenstromrechnung!$X$3+BZ16)/2)^Konstanten!$E$7*$AK16*$AL16^Konstanten!$F$7*(BZ16-Massenstromrechnung!$X$3)^Konstanten!$G$7*((Massenstromrechnung!$X$3+BZ16)/2)^Konstanten!$H$7*(Konstanten!$C$7-(BZ16-Massenstromrechnung!$X$3)^Konstanten!$I$7*Konstanten!$D$7)</f>
        <v>302.62442604645469</v>
      </c>
      <c r="CC16" s="104">
        <f>IF(CA16="trocken",CB16,IF(Konstanten!$A$18*(Massenstromrechnung!$Y$6^Konstanten!$B$18*(Massenstromrechnung!$X$4-(Iteration!BZ16+Massenstromrechnung!$X$3)/2)^Konstanten!$C$18*CB16^Konstanten!$D$18*((Massenstromrechnung!$X$3+Iteration!BZ16)/2)^Konstanten!$E$18+(Iteration!BZ16-Massenstromrechnung!$X$3)^Konstanten!$F$18)&lt;1,CB16,CB16*Konstanten!$A$18*(Massenstromrechnung!$Y$6^Konstanten!$B$18*(Massenstromrechnung!$X$4-(Iteration!BZ16+Massenstromrechnung!$X$3)/2)^Konstanten!$C$18*CB16^Konstanten!$D$18*((Massenstromrechnung!$X$3+Iteration!BZ16)/2)^Konstanten!$E$18+(Iteration!BZ16-Massenstromrechnung!$X$3)^Konstanten!$F$18)))</f>
        <v>432.85186506024951</v>
      </c>
      <c r="CD16" s="101">
        <f>CC16/(Massenstromrechnung!$AA26*Konstanten!$K$3/3.6)+Massenstromrechnung!$X$3</f>
        <v>12.304161548045887</v>
      </c>
      <c r="CE16" s="103" t="str">
        <f>IF(OR(Massenstromrechnung!$Y$6&lt;(CD16*50+Massenstromrechnung!$X$3)/51,(Massenstromrechnung!$Y$6-(CD16*51+Massenstromrechnung!$X$3)/51)&lt;0.7),"trocken","feucht")</f>
        <v>feucht</v>
      </c>
      <c r="CF16" s="104">
        <f>(Massenstromrechnung!$X$4-(Massenstromrechnung!$X$3+CD16)/2)^Konstanten!$E$7*$AK16*$AL16^Konstanten!$F$7*(CD16-Massenstromrechnung!$X$3)^Konstanten!$G$7*((Massenstromrechnung!$X$3+CD16)/2)^Konstanten!$H$7*(Konstanten!$C$7-(CD16-Massenstromrechnung!$X$3)^Konstanten!$I$7*Konstanten!$D$7)</f>
        <v>284.82392100259204</v>
      </c>
      <c r="CG16" s="104">
        <f>IF(CE16="trocken",CF16,IF(Konstanten!$A$18*(Massenstromrechnung!$Y$6^Konstanten!$B$18*(Massenstromrechnung!$X$4-(Iteration!CD16+Massenstromrechnung!$X$3)/2)^Konstanten!$C$18*CF16^Konstanten!$D$18*((Massenstromrechnung!$X$3+Iteration!CD16)/2)^Konstanten!$E$18+(Iteration!CD16-Massenstromrechnung!$X$3)^Konstanten!$F$18)&lt;1,CF16,CF16*Konstanten!$A$18*(Massenstromrechnung!$Y$6^Konstanten!$B$18*(Massenstromrechnung!$X$4-(Iteration!CD16+Massenstromrechnung!$X$3)/2)^Konstanten!$C$18*CF16^Konstanten!$D$18*((Massenstromrechnung!$X$3+Iteration!CD16)/2)^Konstanten!$E$18+(Iteration!CD16-Massenstromrechnung!$X$3)^Konstanten!$F$18)))</f>
        <v>397.91425789447328</v>
      </c>
      <c r="CH16" s="101">
        <f>CG16/(Massenstromrechnung!$AA26*Konstanten!$K$3/3.6)+Massenstromrechnung!$X$3</f>
        <v>11.876036530070861</v>
      </c>
      <c r="CI16" s="103" t="str">
        <f>IF(OR(Massenstromrechnung!$Y$6&lt;(CH16*50+Massenstromrechnung!$X$3)/51,(Massenstromrechnung!$Y$6-(CH16*51+Massenstromrechnung!$X$3)/51)&lt;0.7),"trocken","feucht")</f>
        <v>feucht</v>
      </c>
      <c r="CJ16" s="104">
        <f>(Massenstromrechnung!$X$4-(Massenstromrechnung!$X$3+CH16)/2)^Konstanten!$E$7*$AK16*$AL16^Konstanten!$F$7*(CH16-Massenstromrechnung!$X$3)^Konstanten!$G$7*((Massenstromrechnung!$X$3+CH16)/2)^Konstanten!$H$7*(Konstanten!$C$7-(CH16-Massenstromrechnung!$X$3)^Konstanten!$I$7*Konstanten!$D$7)</f>
        <v>292.23359112817047</v>
      </c>
      <c r="CK16" s="104">
        <f>IF(CI16="trocken",CJ16,IF(Konstanten!$A$18*(Massenstromrechnung!$Y$6^Konstanten!$B$18*(Massenstromrechnung!$X$4-(Iteration!CH16+Massenstromrechnung!$X$3)/2)^Konstanten!$C$18*CJ16^Konstanten!$D$18*((Massenstromrechnung!$X$3+Iteration!CH16)/2)^Konstanten!$E$18+(Iteration!CH16-Massenstromrechnung!$X$3)^Konstanten!$F$18)&lt;1,CJ16,CJ16*Konstanten!$A$18*(Massenstromrechnung!$Y$6^Konstanten!$B$18*(Massenstromrechnung!$X$4-(Iteration!CH16+Massenstromrechnung!$X$3)/2)^Konstanten!$C$18*CJ16^Konstanten!$D$18*((Massenstromrechnung!$X$3+Iteration!CH16)/2)^Konstanten!$E$18+(Iteration!CH16-Massenstromrechnung!$X$3)^Konstanten!$F$18)))</f>
        <v>412.31912871876631</v>
      </c>
      <c r="CL16" s="101">
        <f>CK16/(Massenstromrechnung!$AA26*Konstanten!$K$3/3.6)+Massenstromrechnung!$X$3</f>
        <v>12.052553643887958</v>
      </c>
      <c r="CM16" s="103" t="str">
        <f>IF(OR(Massenstromrechnung!$Y$6&lt;(CL16*50+Massenstromrechnung!$X$3)/51,(Massenstromrechnung!$Y$6-(CL16*51+Massenstromrechnung!$X$3)/51)&lt;0.7),"trocken","feucht")</f>
        <v>feucht</v>
      </c>
      <c r="CN16" s="104">
        <f>(Massenstromrechnung!$X$4-(Massenstromrechnung!$X$3+CL16)/2)^Konstanten!$E$7*$AK16*$AL16^Konstanten!$F$7*(CL16-Massenstromrechnung!$X$3)^Konstanten!$G$7*((Massenstromrechnung!$X$3+CL16)/2)^Konstanten!$H$7*(Konstanten!$C$7-(CL16-Massenstromrechnung!$X$3)^Konstanten!$I$7*Konstanten!$D$7)</f>
        <v>289.12054617478412</v>
      </c>
      <c r="CO16" s="104">
        <f>IF(CM16="trocken",CN16,IF(Konstanten!$A$18*(Massenstromrechnung!$Y$6^Konstanten!$B$18*(Massenstromrechnung!$X$4-(Iteration!CL16+Massenstromrechnung!$X$3)/2)^Konstanten!$C$18*CN16^Konstanten!$D$18*((Massenstromrechnung!$X$3+Iteration!CL16)/2)^Konstanten!$E$18+(Iteration!CL16-Massenstromrechnung!$X$3)^Konstanten!$F$18)&lt;1,CN16,CN16*Konstanten!$A$18*(Massenstromrechnung!$Y$6^Konstanten!$B$18*(Massenstromrechnung!$X$4-(Iteration!CL16+Massenstromrechnung!$X$3)/2)^Konstanten!$C$18*CN16^Konstanten!$D$18*((Massenstromrechnung!$X$3+Iteration!CL16)/2)^Konstanten!$E$18+(Iteration!CL16-Massenstromrechnung!$X$3)^Konstanten!$F$18)))</f>
        <v>406.24219052838754</v>
      </c>
      <c r="CP16" s="101">
        <f>IF(CO16/(Massenstromrechnung!$AA26*Konstanten!$K$3/3.6)+Massenstromrechnung!$X$3-Massenstromrechnung!$X$3&lt;1.4,"RLT zu niedrig",CO16/(Massenstromrechnung!$AA26*Konstanten!$K$3/3.6)+Massenstromrechnung!$X$3)</f>
        <v>11.978086916397315</v>
      </c>
      <c r="CQ16" s="103" t="str">
        <f>IF(CP16="RLT zu niedrig","RLT zu niedrig",IF(OR(Massenstromrechnung!$Y$6&lt;(CP16*50+Massenstromrechnung!$X$3)/51,(Massenstromrechnung!$Y$6-(CP16*51+Massenstromrechnung!$X$3)/51)&lt;0.7),"trocken","feucht"))</f>
        <v>feucht</v>
      </c>
      <c r="CR16" s="104">
        <f>IF(CP16="RLT zu niedrig","RLT zu niedrig",(Massenstromrechnung!$X$4-(Massenstromrechnung!$X$3+CP16)/2)^Konstanten!$E$7*$AK16*$AL16^Konstanten!$F$7*(CP16-Massenstromrechnung!$X$3)^Konstanten!$G$7*((Massenstromrechnung!$X$3+CP16)/2)^Konstanten!$H$7*(Konstanten!$C$7-(CP16-Massenstromrechnung!$X$3)^Konstanten!$I$7*Konstanten!$D$7))</f>
        <v>290.42346074839418</v>
      </c>
      <c r="CS16" s="104">
        <f>IF(CP16="RLT zu niedrig","RLT zu niedrig",IF(CQ16="trocken",CR16,IF(Konstanten!$A$18*(Massenstromrechnung!$Y$6^Konstanten!$B$18*(Massenstromrechnung!$X$4-(Iteration!CP16+Massenstromrechnung!$X$3)/2)^Konstanten!$C$18*CR16^Konstanten!$D$18*((Massenstromrechnung!$X$3+Iteration!CP16)/2)^Konstanten!$E$18+(Iteration!CP16-Massenstromrechnung!$X$3)^Konstanten!$F$18)&lt;1,CR16,CR16*Konstanten!$A$18*(Massenstromrechnung!$Y$6^Konstanten!$B$18*(Massenstromrechnung!$X$4-(Iteration!CP16+Massenstromrechnung!$X$3)/2)^Konstanten!$C$18*CR16^Konstanten!$D$18*((Massenstromrechnung!$X$3+Iteration!CP16)/2)^Konstanten!$E$18+(Iteration!CP16-Massenstromrechnung!$X$3)^Konstanten!$F$18))))</f>
        <v>408.78126039224571</v>
      </c>
    </row>
    <row r="17" spans="1:97" x14ac:dyDescent="0.3">
      <c r="A17">
        <f>Massenstromrechnung!B27</f>
        <v>1480</v>
      </c>
      <c r="B17" s="53">
        <v>1205</v>
      </c>
      <c r="C17" s="103">
        <f>IF(Massenstromrechnung!$K$3-10&lt;=Massenstromrechnung!$K$4,Massenstromrechnung!$K$3-0.75*(Massenstromrechnung!$K$3-Massenstromrechnung!$K$4),Massenstromrechnung!$K$3-10)</f>
        <v>65</v>
      </c>
      <c r="D17" s="103">
        <f>-1*((Massenstromrechnung!$K$3+C17)/2-Massenstromrechnung!$K$4)^Konstanten!$E$4*Massenstromrechnung!$B27*Massenstromrechnung!$C27^Konstanten!$F$4*(Massenstromrechnung!$K$3-C17)^Konstanten!$G$4*((Massenstromrechnung!$K$3+C17)/2)^Konstanten!$H$4*(Konstanten!$C$4-((Massenstromrechnung!$K$3-C17)^Konstanten!$I$4*Konstanten!$D$4))/(Massenstromrechnung!$F27*Konstanten!$K$3/3.6)+Massenstromrechnung!$K$3</f>
        <v>65</v>
      </c>
      <c r="E17" s="103">
        <f t="shared" si="6"/>
        <v>65</v>
      </c>
      <c r="F17" s="103">
        <f>-1*((Massenstromrechnung!$K$3+E17)/2-Massenstromrechnung!$K$4)^Konstanten!$E$4*Massenstromrechnung!$B27*Massenstromrechnung!$C27^Konstanten!$F$4*(Massenstromrechnung!$K$3-E17)^Konstanten!$G$4*((Massenstromrechnung!$K$3+E17)/2)^Konstanten!$H$4*(Konstanten!$C$4-((Massenstromrechnung!$K$3-E17)^Konstanten!$I$4*Konstanten!$D$4))/(Massenstromrechnung!$F27*Konstanten!$K$3/3.6)+Massenstromrechnung!$K$3</f>
        <v>65</v>
      </c>
      <c r="G17" s="103">
        <f t="shared" si="0"/>
        <v>65</v>
      </c>
      <c r="H17" s="103">
        <f>-1*((Massenstromrechnung!$K$3+G17)/2-Massenstromrechnung!$K$4)^Konstanten!$E$4*Massenstromrechnung!$B27*Massenstromrechnung!$C27^Konstanten!$F$4*(Massenstromrechnung!$K$3-G17)^Konstanten!$G$4*((Massenstromrechnung!$K$3+G17)/2)^Konstanten!$H$4*(Konstanten!$C$4-((Massenstromrechnung!$K$3-G17)^Konstanten!$I$4*Konstanten!$D$4))/(Massenstromrechnung!$F27*Konstanten!$K$3/3.6)+Massenstromrechnung!$K$3</f>
        <v>65</v>
      </c>
      <c r="I17" s="103">
        <f t="shared" si="1"/>
        <v>65</v>
      </c>
      <c r="J17" s="103">
        <f>-1*((Massenstromrechnung!$K$3+I17)/2-Massenstromrechnung!$K$4)^Konstanten!$E$4*Massenstromrechnung!$B27*Massenstromrechnung!$C27^Konstanten!$F$4*(Massenstromrechnung!$K$3-I17)^Konstanten!$G$4*((Massenstromrechnung!$K$3+I17)/2)^Konstanten!$H$4*(Konstanten!$C$4-((Massenstromrechnung!$K$3-I17)^Konstanten!$I$4*Konstanten!$D$4))/(Massenstromrechnung!$F27*Konstanten!$K$3/3.6)+Massenstromrechnung!$K$3</f>
        <v>65</v>
      </c>
      <c r="K17" s="103">
        <f t="shared" si="2"/>
        <v>65</v>
      </c>
      <c r="L17" s="103">
        <f>-1*((Massenstromrechnung!$K$3+K17)/2-Massenstromrechnung!$K$4)^Konstanten!$E$4*Massenstromrechnung!$B27*Massenstromrechnung!$C27^Konstanten!$F$4*(Massenstromrechnung!$K$3-K17)^Konstanten!$G$4*((Massenstromrechnung!$K$3+K17)/2)^Konstanten!$H$4*(Konstanten!$C$4-((Massenstromrechnung!$K$3-K17)^Konstanten!$I$4*Konstanten!$D$4))/(Massenstromrechnung!$F27*Konstanten!$K$3/3.6)+Massenstromrechnung!$K$3</f>
        <v>65</v>
      </c>
      <c r="N17">
        <f>'Katalogdaten M3G045'!B31</f>
        <v>1480</v>
      </c>
      <c r="O17" s="53">
        <v>1205</v>
      </c>
      <c r="P17" s="103">
        <f>IF(Massenstromrechnung!$K$3-10&lt;=Massenstromrechnung!$K$4,Massenstromrechnung!$K$3-0.75*(Massenstromrechnung!$K$3-Massenstromrechnung!$K$4),Massenstromrechnung!$K$3-10)</f>
        <v>65</v>
      </c>
      <c r="Q17" s="103" t="e">
        <f>-1*((Massenstromrechnung!$K$3+P17)/2-Massenstromrechnung!$K$4)^Konstanten!$E$4*Massenstromrechnung!$B27*Massenstromrechnung!$C27^Konstanten!$F$4*(Massenstromrechnung!$K$3-P17)^Konstanten!$G$4*((Massenstromrechnung!$K$3+P17)/2)^Konstanten!$H$4*(Konstanten!$C$4-((Massenstromrechnung!$K$3-P17)^Konstanten!$I$4*Konstanten!$D$4))/(Massenstromrechnung!#REF!*Konstanten!$K$3/3.6)+Massenstromrechnung!$K$3</f>
        <v>#REF!</v>
      </c>
      <c r="R17" s="103" t="e">
        <f t="shared" si="7"/>
        <v>#REF!</v>
      </c>
      <c r="S17" s="103" t="e">
        <f>-1*((Massenstromrechnung!$K$3+R17)/2-Massenstromrechnung!$K$4)^Konstanten!$E$4*Massenstromrechnung!$B27*Massenstromrechnung!$C27^Konstanten!$F$4*(Massenstromrechnung!$K$3-R17)^Konstanten!$G$4*((Massenstromrechnung!$K$3+R17)/2)^Konstanten!$H$4*(Konstanten!$C$4-((Massenstromrechnung!$K$3-R17)^Konstanten!$I$4*Konstanten!$D$4))/(Massenstromrechnung!#REF!*Konstanten!$K$3/3.6)+Massenstromrechnung!$K$3</f>
        <v>#REF!</v>
      </c>
      <c r="T17" s="103" t="e">
        <f t="shared" si="3"/>
        <v>#REF!</v>
      </c>
      <c r="U17" s="103" t="e">
        <f>-1*((Massenstromrechnung!$K$3+T17)/2-Massenstromrechnung!$K$4)^Konstanten!$E$4*Massenstromrechnung!$B27*Massenstromrechnung!$C27^Konstanten!$F$4*(Massenstromrechnung!$K$3-T17)^Konstanten!$G$4*((Massenstromrechnung!$K$3+T17)/2)^Konstanten!$H$4*(Konstanten!$C$4-((Massenstromrechnung!$K$3-T17)^Konstanten!$I$4*Konstanten!$D$4))/(Massenstromrechnung!#REF!*Konstanten!$K$3/3.6)+Massenstromrechnung!$K$3</f>
        <v>#REF!</v>
      </c>
      <c r="V17" s="103" t="e">
        <f t="shared" si="4"/>
        <v>#REF!</v>
      </c>
      <c r="W17" s="103" t="e">
        <f>-1*((Massenstromrechnung!$K$3+V17)/2-Massenstromrechnung!$K$4)^Konstanten!$E$4*Massenstromrechnung!$B27*Massenstromrechnung!$C27^Konstanten!$F$4*(Massenstromrechnung!$K$3-V17)^Konstanten!$G$4*((Massenstromrechnung!$K$3+V17)/2)^Konstanten!$H$4*(Konstanten!$C$4-((Massenstromrechnung!$K$3-V17)^Konstanten!$I$4*Konstanten!$D$4))/(Massenstromrechnung!#REF!*Konstanten!$K$3/3.6)+Massenstromrechnung!$K$3</f>
        <v>#REF!</v>
      </c>
      <c r="X17" s="103" t="e">
        <f t="shared" si="5"/>
        <v>#REF!</v>
      </c>
      <c r="Y17" s="103" t="e">
        <f>-1*((Massenstromrechnung!$K$3+X17)/2-Massenstromrechnung!$K$4)^Konstanten!$E$4*Massenstromrechnung!$B27*Massenstromrechnung!$C27^Konstanten!$F$4*(Massenstromrechnung!$K$3-X17)^Konstanten!$G$4*((Massenstromrechnung!$K$3+X17)/2)^Konstanten!$H$4*(Konstanten!$C$4-((Massenstromrechnung!$K$3-X17)^Konstanten!$I$4*Konstanten!$D$4))/(Massenstromrechnung!#REF!*Konstanten!$K$3/3.6)+Massenstromrechnung!$K$3</f>
        <v>#REF!</v>
      </c>
      <c r="AA17">
        <f t="shared" si="8"/>
        <v>1480</v>
      </c>
      <c r="AB17">
        <f t="shared" si="8"/>
        <v>1205</v>
      </c>
      <c r="AC17" s="103">
        <f>IF(Massenstromrechnung!$K$3-10&lt;=Massenstromrechnung!$K$4,Massenstromrechnung!$K$3-0.75*(Massenstromrechnung!$K$3-Massenstromrechnung!$K$4),Massenstromrechnung!$K$3-10)</f>
        <v>65</v>
      </c>
      <c r="AD17" s="103">
        <f>-1*((Massenstromrechnung!$K$3+AC17)/2-Massenstromrechnung!$K$4)^Konstanten!$E$5*$AA17*$AB17^Konstanten!$F$5*(Massenstromrechnung!$K$3-AC17)^Konstanten!$G$5*((Massenstromrechnung!$K$3+AC17)/2)^Konstanten!$H$5*(Konstanten!$C$5-((Massenstromrechnung!$K$3-AC17)^Konstanten!$I$5*Konstanten!$D$5))/(Massenstromrechnung!$L27*Konstanten!$K$3/3.6)+Massenstromrechnung!$K$3</f>
        <v>65</v>
      </c>
      <c r="AE17" s="103">
        <f>-1*((Massenstromrechnung!$K$3+AD17)/2-Massenstromrechnung!$K$4)^Konstanten!$E$5*$AA17*$AB17^Konstanten!$F$5*(Massenstromrechnung!$K$3-AD17)^Konstanten!$G$5*((Massenstromrechnung!$K$3+AD17)/2)^Konstanten!$H$5*(Konstanten!$C$5-((Massenstromrechnung!$K$3-AD17)^Konstanten!$I$5*Konstanten!$D$5))/(Massenstromrechnung!$L27*Konstanten!$K$3/3.6)+Massenstromrechnung!$K$3</f>
        <v>65</v>
      </c>
      <c r="AF17" s="103">
        <f>-1*((Massenstromrechnung!$K$3+AE17)/2-Massenstromrechnung!$K$4)^Konstanten!$E$5*$AA17*$AB17^Konstanten!$F$5*(Massenstromrechnung!$K$3-AE17)^Konstanten!$G$5*((Massenstromrechnung!$K$3+AE17)/2)^Konstanten!$H$5*(Konstanten!$C$5-((Massenstromrechnung!$K$3-AE17)^Konstanten!$I$5*Konstanten!$D$5))/(Massenstromrechnung!$L27*Konstanten!$K$3/3.6)+Massenstromrechnung!$K$3</f>
        <v>65</v>
      </c>
      <c r="AG17" s="103">
        <f>-1*((Massenstromrechnung!$K$3+AF17)/2-Massenstromrechnung!$K$4)^Konstanten!$E$5*$AA17*$AB17^Konstanten!$F$5*(Massenstromrechnung!$K$3-AF17)^Konstanten!$G$5*((Massenstromrechnung!$K$3+AF17)/2)^Konstanten!$H$5*(Konstanten!$C$5-((Massenstromrechnung!$K$3-AF17)^Konstanten!$I$5*Konstanten!$D$5))/(Massenstromrechnung!$L27*Konstanten!$K$3/3.6)+Massenstromrechnung!$K$3</f>
        <v>65</v>
      </c>
      <c r="AH17" s="103">
        <f>-1*((Massenstromrechnung!$K$3+AG17)/2-Massenstromrechnung!$K$4)^Konstanten!$E$5*$AA17*$AB17^Konstanten!$F$5*(Massenstromrechnung!$K$3-AG17)^Konstanten!$G$5*((Massenstromrechnung!$K$3+AG17)/2)^Konstanten!$H$5*(Konstanten!$C$5-((Massenstromrechnung!$K$3-AG17)^Konstanten!$I$5*Konstanten!$D$5))/(Massenstromrechnung!$L27*Konstanten!$K$3/3.6)+Massenstromrechnung!$K$3</f>
        <v>65</v>
      </c>
      <c r="AI17" s="103">
        <f>-1*((Massenstromrechnung!$K$3+AH17)/2-Massenstromrechnung!$K$4)^Konstanten!$E$5*$AA17*$AB17^Konstanten!$F$5*(Massenstromrechnung!$K$3-AH17)^Konstanten!$G$5*((Massenstromrechnung!$K$3+AH17)/2)^Konstanten!$H$5*(Konstanten!$C$5-((Massenstromrechnung!$K$3-AH17)^Konstanten!$I$5*Konstanten!$D$5))/(Massenstromrechnung!$L27*Konstanten!$K$3/3.6)+Massenstromrechnung!$K$3</f>
        <v>65</v>
      </c>
      <c r="AK17">
        <f t="shared" si="9"/>
        <v>1480</v>
      </c>
      <c r="AL17">
        <f t="shared" si="9"/>
        <v>1205</v>
      </c>
      <c r="AM17" s="103">
        <f>Massenstromrechnung!$X$3+2</f>
        <v>9</v>
      </c>
      <c r="AN17" s="103" t="str">
        <f>IF(OR(Massenstromrechnung!$Y$6&lt;(AM17*50+Massenstromrechnung!$X$3)/51,(Massenstromrechnung!$Y$6-(AM17*51+Massenstromrechnung!$X$3)/51)&lt;0.7),"trocken","feucht")</f>
        <v>feucht</v>
      </c>
      <c r="AO17" s="104">
        <f>(Massenstromrechnung!$X$4-(Massenstromrechnung!$X$3+AM17)/2)^Konstanten!$E$6*$AK17*$AL17^Konstanten!$F$6*(AM17-Massenstromrechnung!$X$3)^Konstanten!$G$6*((Massenstromrechnung!$X$3+AM17)/2)^Konstanten!$H$6*(Konstanten!$C$6-(AM17-Massenstromrechnung!$X$3)^Konstanten!$I$6*Konstanten!$D$6)</f>
        <v>3047.3007797933019</v>
      </c>
      <c r="AP17" s="104">
        <f>IF(AN17="trocken",AO17,IF(Konstanten!$A$18*(Massenstromrechnung!$Y$6^Konstanten!$B$18*(Massenstromrechnung!$X$4-(Iteration!AM17+Massenstromrechnung!$X$3)/2)^Konstanten!$C$18*AO17^Konstanten!$D$18*((Massenstromrechnung!$X$3+Iteration!AM17)/2)^Konstanten!$E$18+(Iteration!AM17-Massenstromrechnung!$X$3)^Konstanten!$F$18)&lt;1,AO17,AO17*Konstanten!$A$18*(Massenstromrechnung!$Y$6^Konstanten!$B$18*(Massenstromrechnung!$X$4-(Iteration!AM17+Massenstromrechnung!$X$3)/2)^Konstanten!$C$18*AO17^Konstanten!$D$18*((Massenstromrechnung!$X$3+Iteration!AM17)/2)^Konstanten!$E$18+(Iteration!AM17-Massenstromrechnung!$X$3)^Konstanten!$F$18)))</f>
        <v>4417.3063542865548</v>
      </c>
      <c r="AQ17" s="101">
        <f>AP17/(Massenstromrechnung!$R27*Konstanten!$K$3/3.6)+Massenstromrechnung!$X$3</f>
        <v>19.534015564860255</v>
      </c>
      <c r="AR17" s="103" t="str">
        <f>IF(OR(Massenstromrechnung!$Y$6&lt;(AQ17*50+Massenstromrechnung!$X$3)/51,(Massenstromrechnung!$Y$6-(AQ17*51+Massenstromrechnung!$X$3)/51)&lt;0.7),"trocken","feucht")</f>
        <v>trocken</v>
      </c>
      <c r="AS17" s="104">
        <f>(Massenstromrechnung!$X$4-(Massenstromrechnung!$X$3+AQ17)/2)^Konstanten!$E$6*$AK17*$AL17^Konstanten!$F$6*(AQ17-Massenstromrechnung!$X$3)^Konstanten!$G$6*((Massenstromrechnung!$X$3+AQ17)/2)^Konstanten!$H$6*(Konstanten!$C$6-(AQ17-Massenstromrechnung!$X$3)^Konstanten!$I$6*Konstanten!$D$6)</f>
        <v>1907.8199020136979</v>
      </c>
      <c r="AT17" s="104">
        <f>IF(AR17="trocken",AS17,IF(Konstanten!$A$18*(Massenstromrechnung!$Y$6^Konstanten!$B$18*(Massenstromrechnung!$X$4-(Iteration!AQ17+Massenstromrechnung!$X$3)/2)^Konstanten!$C$18*AS17^Konstanten!$D$18*((Massenstromrechnung!$X$3+Iteration!AQ17)/2)^Konstanten!$E$18+(Iteration!AQ17-Massenstromrechnung!$X$3)^Konstanten!$F$18)&lt;1,AS17,AS17*Konstanten!$A$18*(Massenstromrechnung!$Y$6^Konstanten!$B$18*(Massenstromrechnung!$X$4-(Iteration!AQ17+Massenstromrechnung!$X$3)/2)^Konstanten!$C$18*AS17^Konstanten!$D$18*((Massenstromrechnung!$X$3+Iteration!AQ17)/2)^Konstanten!$E$18+(Iteration!AQ17-Massenstromrechnung!$X$3)^Konstanten!$F$18)))</f>
        <v>1907.8199020136979</v>
      </c>
      <c r="AU17" s="101">
        <f>AT17/(Massenstromrechnung!$R27*Konstanten!$K$3/3.6)+Massenstromrechnung!$X$3</f>
        <v>12.413399576324387</v>
      </c>
      <c r="AV17" s="103" t="str">
        <f>IF(OR(Massenstromrechnung!$Y$6&lt;(AU17*50+Massenstromrechnung!$X$3)/51,(Massenstromrechnung!$Y$6-(AU17*51+Massenstromrechnung!$X$3)/51)&lt;0.7),"trocken","feucht")</f>
        <v>feucht</v>
      </c>
      <c r="AW17" s="104">
        <f>(Massenstromrechnung!$X$4-(Massenstromrechnung!$X$3+AU17)/2)^Konstanten!$E$6*$AK17*$AL17^Konstanten!$F$6*(AU17-Massenstromrechnung!$X$3)^Konstanten!$G$6*((Massenstromrechnung!$X$3+AU17)/2)^Konstanten!$H$6*(Konstanten!$C$6-(AU17-Massenstromrechnung!$X$3)^Konstanten!$I$6*Konstanten!$D$6)</f>
        <v>2644.1859716889976</v>
      </c>
      <c r="AX17" s="104">
        <f>IF(AV17="trocken",AW17,IF(Konstanten!$A$18*(Massenstromrechnung!$Y$6^Konstanten!$B$18*(Massenstromrechnung!$X$4-(Iteration!AU17+Massenstromrechnung!$X$3)/2)^Konstanten!$C$18*AW17^Konstanten!$D$18*((Massenstromrechnung!$X$3+Iteration!AU17)/2)^Konstanten!$E$18+(Iteration!AU17-Massenstromrechnung!$X$3)^Konstanten!$F$18)&lt;1,AW17,AW17*Konstanten!$A$18*(Massenstromrechnung!$Y$6^Konstanten!$B$18*(Massenstromrechnung!$X$4-(Iteration!AU17+Massenstromrechnung!$X$3)/2)^Konstanten!$C$18*AW17^Konstanten!$D$18*((Massenstromrechnung!$X$3+Iteration!AU17)/2)^Konstanten!$E$18+(Iteration!AU17-Massenstromrechnung!$X$3)^Konstanten!$F$18)))</f>
        <v>3447.4070458107121</v>
      </c>
      <c r="AY17" s="101">
        <f>AX17/(Massenstromrechnung!$R27*Konstanten!$K$3/3.6)+Massenstromrechnung!$X$3</f>
        <v>16.781946305052969</v>
      </c>
      <c r="AZ17" s="103" t="str">
        <f>IF(OR(Massenstromrechnung!$Y$6&lt;(AY17*50+Massenstromrechnung!$X$3)/51,(Massenstromrechnung!$Y$6-(AY17*51+Massenstromrechnung!$X$3)/51)&lt;0.7),"trocken","feucht")</f>
        <v>trocken</v>
      </c>
      <c r="BA17" s="104">
        <f>(Massenstromrechnung!$X$4-(Massenstromrechnung!$X$3+AY17)/2)^Konstanten!$E$6*$AK17*$AL17^Konstanten!$F$6*(AY17-Massenstromrechnung!$X$3)^Konstanten!$G$6*((Massenstromrechnung!$X$3+AY17)/2)^Konstanten!$H$6*(Konstanten!$C$6-(AY17-Massenstromrechnung!$X$3)^Konstanten!$I$6*Konstanten!$D$6)</f>
        <v>2161.7933226791192</v>
      </c>
      <c r="BB17" s="104">
        <f>IF(AZ17="trocken",BA17,IF(Konstanten!$A$18*(Massenstromrechnung!$Y$6^Konstanten!$B$18*(Massenstromrechnung!$X$4-(Iteration!AY17+Massenstromrechnung!$X$3)/2)^Konstanten!$C$18*BA17^Konstanten!$D$18*((Massenstromrechnung!$X$3+Iteration!AY17)/2)^Konstanten!$E$18+(Iteration!AY17-Massenstromrechnung!$X$3)^Konstanten!$F$18)&lt;1,BA17,BA17*Konstanten!$A$18*(Massenstromrechnung!$Y$6^Konstanten!$B$18*(Massenstromrechnung!$X$4-(Iteration!AY17+Massenstromrechnung!$X$3)/2)^Konstanten!$C$18*BA17^Konstanten!$D$18*((Massenstromrechnung!$X$3+Iteration!AY17)/2)^Konstanten!$E$18+(Iteration!AY17-Massenstromrechnung!$X$3)^Konstanten!$F$18)))</f>
        <v>2161.7933226791192</v>
      </c>
      <c r="BC17" s="101">
        <f>BB17/(Massenstromrechnung!$R27*Konstanten!$K$3/3.6)+Massenstromrechnung!$X$3</f>
        <v>13.134043913023405</v>
      </c>
      <c r="BD17" s="103" t="str">
        <f>IF(OR(Massenstromrechnung!$Y$6&lt;(BC17*50+Massenstromrechnung!$X$3)/51,(Massenstromrechnung!$Y$6-(BC17*51+Massenstromrechnung!$X$3)/51)&lt;0.7),"trocken","feucht")</f>
        <v>feucht</v>
      </c>
      <c r="BE17" s="104">
        <f>(Massenstromrechnung!$X$4-(Massenstromrechnung!$X$3+BC17)/2)^Konstanten!$E$6*$AK17*$AL17^Konstanten!$F$6*(BC17-Massenstromrechnung!$X$3)^Konstanten!$G$6*((Massenstromrechnung!$X$3+BC17)/2)^Konstanten!$H$6*(Konstanten!$C$6-(BC17-Massenstromrechnung!$X$3)^Konstanten!$I$6*Konstanten!$D$6)</f>
        <v>2555.9886347736979</v>
      </c>
      <c r="BF17" s="104">
        <f>IF(BD17="trocken",BE17,IF(Konstanten!$A$18*(Massenstromrechnung!$Y$6^Konstanten!$B$18*(Massenstromrechnung!$X$4-(Iteration!BC17+Massenstromrechnung!$X$3)/2)^Konstanten!$C$18*BE17^Konstanten!$D$18*((Massenstromrechnung!$X$3+Iteration!BC17)/2)^Konstanten!$E$18+(Iteration!BC17-Massenstromrechnung!$X$3)^Konstanten!$F$18)&lt;1,BE17,BE17*Konstanten!$A$18*(Massenstromrechnung!$Y$6^Konstanten!$B$18*(Massenstromrechnung!$X$4-(Iteration!BC17+Massenstromrechnung!$X$3)/2)^Konstanten!$C$18*BE17^Konstanten!$D$18*((Massenstromrechnung!$X$3+Iteration!BC17)/2)^Konstanten!$E$18+(Iteration!BC17-Massenstromrechnung!$X$3)^Konstanten!$F$18)))</f>
        <v>3280.545691978185</v>
      </c>
      <c r="BG17" s="101">
        <f>BF17/(Massenstromrechnung!$R27*Konstanten!$K$3/3.6)+Massenstromrechnung!$X$3</f>
        <v>16.308480659166534</v>
      </c>
      <c r="BH17" s="103" t="str">
        <f>IF(OR(Massenstromrechnung!$Y$6&lt;(BG17*50+Massenstromrechnung!$X$3)/51,(Massenstromrechnung!$Y$6-(BG17*51+Massenstromrechnung!$X$3)/51)&lt;0.7),"trocken","feucht")</f>
        <v>trocken</v>
      </c>
      <c r="BI17" s="104">
        <f>(Massenstromrechnung!$X$4-(Massenstromrechnung!$X$3+BG17)/2)^Konstanten!$E$6*$AK17*$AL17^Konstanten!$F$6*(BG17-Massenstromrechnung!$X$3)^Konstanten!$G$6*((Massenstromrechnung!$X$3+BG17)/2)^Konstanten!$H$6*(Konstanten!$C$6-(BG17-Massenstromrechnung!$X$3)^Konstanten!$I$6*Konstanten!$D$6)</f>
        <v>2208.7015052715487</v>
      </c>
      <c r="BJ17" s="104">
        <f>IF(BH17="trocken",BI17,IF(Konstanten!$A$18*(Massenstromrechnung!$Y$6^Konstanten!$B$18*(Massenstromrechnung!$X$4-(Iteration!BG17+Massenstromrechnung!$X$3)/2)^Konstanten!$C$18*BI17^Konstanten!$D$18*((Massenstromrechnung!$X$3+Iteration!BG17)/2)^Konstanten!$E$18+(Iteration!BG17-Massenstromrechnung!$X$3)^Konstanten!$F$18)&lt;1,BI17,BI17*Konstanten!$A$18*(Massenstromrechnung!$Y$6^Konstanten!$B$18*(Massenstromrechnung!$X$4-(Iteration!BG17+Massenstromrechnung!$X$3)/2)^Konstanten!$C$18*BI17^Konstanten!$D$18*((Massenstromrechnung!$X$3+Iteration!BG17)/2)^Konstanten!$E$18+(Iteration!BG17-Massenstromrechnung!$X$3)^Konstanten!$F$18)))</f>
        <v>2208.7015052715487</v>
      </c>
      <c r="BK17" s="101">
        <f>IF(BJ17/(Massenstromrechnung!$R27*Konstanten!$K$3/3.6)+Massenstromrechnung!$X$3-Massenstromrechnung!$X$3&lt;1.4,"RLT zu niedrig",BJ17/(Massenstromrechnung!$R27*Konstanten!$K$3/3.6)+Massenstromrechnung!$X$3)</f>
        <v>13.267144912496143</v>
      </c>
      <c r="BL17" s="103" t="str">
        <f>IF(BK17="RLT zu niedrig","RLT zu niedrig",IF(OR(Massenstromrechnung!$Y$6&lt;(BK17*50+Massenstromrechnung!$X$3)/51,(Massenstromrechnung!$Y$6-(BK17*51+Massenstromrechnung!$X$3)/51)&lt;0.7),"trocken","feucht"))</f>
        <v>feucht</v>
      </c>
      <c r="BM17" s="104">
        <f>IF(BK17="RLT zu niedrig","RLT zu niedrig",(Massenstromrechnung!$X$4-(Massenstromrechnung!$X$3+BK17)/2)^Konstanten!$E$6*$AK17*$AL17^Konstanten!$F$6*(BK17-Massenstromrechnung!$X$3)^Konstanten!$G$6*((Massenstromrechnung!$X$3+BK17)/2)^Konstanten!$H$6*(Konstanten!$C$6-(BK17-Massenstromrechnung!$X$3)^Konstanten!$I$6*Konstanten!$D$6))</f>
        <v>2540.1060247330461</v>
      </c>
      <c r="BN17" s="104">
        <f>IF(BK17="RLT zu niedrig","RLT zu niedrig",IF(BL17="trocken",BM17,IF(Konstanten!$A$18*(Massenstromrechnung!$Y$6^Konstanten!$B$18*(Massenstromrechnung!$X$4-(Iteration!BK17+Massenstromrechnung!$X$3)/2)^Konstanten!$C$18*BM17^Konstanten!$D$18*((Massenstromrechnung!$X$3+Iteration!BK17)/2)^Konstanten!$E$18+(Iteration!BK17-Massenstromrechnung!$X$3)^Konstanten!$F$18)&lt;1,BM17,BM17*Konstanten!$A$18*(Massenstromrechnung!$Y$6^Konstanten!$B$18*(Massenstromrechnung!$X$4-(Iteration!BK17+Massenstromrechnung!$X$3)/2)^Konstanten!$C$18*BM17^Konstanten!$D$18*((Massenstromrechnung!$X$3+Iteration!BK17)/2)^Konstanten!$E$18+(Iteration!BK17-Massenstromrechnung!$X$3)^Konstanten!$F$18))))</f>
        <v>3251.2012173473859</v>
      </c>
      <c r="BO17" s="101"/>
      <c r="BP17">
        <f t="shared" si="10"/>
        <v>1480</v>
      </c>
      <c r="BQ17">
        <f t="shared" si="10"/>
        <v>1205</v>
      </c>
      <c r="BR17" s="103">
        <f>Massenstromrechnung!$X$3+2</f>
        <v>9</v>
      </c>
      <c r="BS17" s="103" t="str">
        <f>IF(OR(Massenstromrechnung!$Y$6&lt;(BR17*50+Massenstromrechnung!$X$3)/51,(Massenstromrechnung!$Y$6-(BR17*51+Massenstromrechnung!$X$3)/51)&lt;0.7),"trocken","feucht")</f>
        <v>feucht</v>
      </c>
      <c r="BT17" s="104">
        <f>(Massenstromrechnung!$X$4-(Massenstromrechnung!$X$3+BR17)/2)^Konstanten!$E$7*$AK17*$AL17^Konstanten!$F$7*(BR17-Massenstromrechnung!$X$3)^Konstanten!$G$7*((Massenstromrechnung!$X$3+BR17)/2)^Konstanten!$H$7*(Konstanten!$C$7-(BR17-Massenstromrechnung!$X$3)^Konstanten!$I$7*Konstanten!$D$7)</f>
        <v>3290.4565248541362</v>
      </c>
      <c r="BU17" s="104">
        <f>IF(BS17="trocken",BT17,IF(Konstanten!$A$18*(Massenstromrechnung!$Y$6^Konstanten!$B$18*(Massenstromrechnung!$X$4-(Iteration!BR17+Massenstromrechnung!$X$3)/2)^Konstanten!$C$18*BT17^Konstanten!$D$18*((Massenstromrechnung!$X$3+Iteration!BR17)/2)^Konstanten!$E$18+(Iteration!BR17-Massenstromrechnung!$X$3)^Konstanten!$F$18)&lt;1,BT17,BT17*Konstanten!$A$18*(Massenstromrechnung!$Y$6^Konstanten!$B$18*(Massenstromrechnung!$X$4-(Iteration!BR17+Massenstromrechnung!$X$3)/2)^Konstanten!$C$18*BT17^Konstanten!$D$18*((Massenstromrechnung!$X$3+Iteration!BR17)/2)^Konstanten!$E$18+(Iteration!BR17-Massenstromrechnung!$X$3)^Konstanten!$F$18)))</f>
        <v>4759.2150706566781</v>
      </c>
      <c r="BV17" s="101">
        <f>BU17/(Massenstromrechnung!$AA27*Konstanten!$K$3/3.6)+Massenstromrechnung!$X$3</f>
        <v>13.900490065369997</v>
      </c>
      <c r="BW17" s="103" t="str">
        <f>IF(OR(Massenstromrechnung!$Y$6&lt;(BV17*50+Massenstromrechnung!$X$3)/51,(Massenstromrechnung!$Y$6-(BV17*51+Massenstromrechnung!$X$3)/51)&lt;0.7),"trocken","feucht")</f>
        <v>feucht</v>
      </c>
      <c r="BX17" s="104">
        <f>(Massenstromrechnung!$X$4-(Massenstromrechnung!$X$3+BV17)/2)^Konstanten!$E$7*$AK17*$AL17^Konstanten!$F$7*(BV17-Massenstromrechnung!$X$3)^Konstanten!$G$7*((Massenstromrechnung!$X$3+BV17)/2)^Konstanten!$H$7*(Konstanten!$C$7-(BV17-Massenstromrechnung!$X$3)^Konstanten!$I$7*Konstanten!$D$7)</f>
        <v>2351.4287574114983</v>
      </c>
      <c r="BY17" s="104">
        <f>IF(BW17="trocken",BX17,IF(Konstanten!$A$18*(Massenstromrechnung!$Y$6^Konstanten!$B$18*(Massenstromrechnung!$X$4-(Iteration!BV17+Massenstromrechnung!$X$3)/2)^Konstanten!$C$18*BX17^Konstanten!$D$18*((Massenstromrechnung!$X$3+Iteration!BV17)/2)^Konstanten!$E$18+(Iteration!BV17-Massenstromrechnung!$X$3)^Konstanten!$F$18)&lt;1,BX17,BX17*Konstanten!$A$18*(Massenstromrechnung!$Y$6^Konstanten!$B$18*(Massenstromrechnung!$X$4-(Iteration!BV17+Massenstromrechnung!$X$3)/2)^Konstanten!$C$18*BX17^Konstanten!$D$18*((Massenstromrechnung!$X$3+Iteration!BV17)/2)^Konstanten!$E$18+(Iteration!BV17-Massenstromrechnung!$X$3)^Konstanten!$F$18)))</f>
        <v>2976.4638607029065</v>
      </c>
      <c r="BZ17" s="101">
        <f>BY17/(Massenstromrechnung!$AA27*Konstanten!$K$3/3.6)+Massenstromrechnung!$X$3</f>
        <v>11.315640078413024</v>
      </c>
      <c r="CA17" s="103" t="str">
        <f>IF(OR(Massenstromrechnung!$Y$6&lt;(BZ17*50+Massenstromrechnung!$X$3)/51,(Massenstromrechnung!$Y$6-(BZ17*51+Massenstromrechnung!$X$3)/51)&lt;0.7),"trocken","feucht")</f>
        <v>feucht</v>
      </c>
      <c r="CB17" s="104">
        <f>(Massenstromrechnung!$X$4-(Massenstromrechnung!$X$3+BZ17)/2)^Konstanten!$E$7*$AK17*$AL17^Konstanten!$F$7*(BZ17-Massenstromrechnung!$X$3)^Konstanten!$G$7*((Massenstromrechnung!$X$3+BZ17)/2)^Konstanten!$H$7*(Konstanten!$C$7-(BZ17-Massenstromrechnung!$X$3)^Konstanten!$I$7*Konstanten!$D$7)</f>
        <v>2731.8362595385156</v>
      </c>
      <c r="CC17" s="104">
        <f>IF(CA17="trocken",CB17,IF(Konstanten!$A$18*(Massenstromrechnung!$Y$6^Konstanten!$B$18*(Massenstromrechnung!$X$4-(Iteration!BZ17+Massenstromrechnung!$X$3)/2)^Konstanten!$C$18*CB17^Konstanten!$D$18*((Massenstromrechnung!$X$3+Iteration!BZ17)/2)^Konstanten!$E$18+(Iteration!BZ17-Massenstromrechnung!$X$3)^Konstanten!$F$18)&lt;1,CB17,CB17*Konstanten!$A$18*(Massenstromrechnung!$Y$6^Konstanten!$B$18*(Massenstromrechnung!$X$4-(Iteration!BZ17+Massenstromrechnung!$X$3)/2)^Konstanten!$C$18*CB17^Konstanten!$D$18*((Massenstromrechnung!$X$3+Iteration!BZ17)/2)^Konstanten!$E$18+(Iteration!BZ17-Massenstromrechnung!$X$3)^Konstanten!$F$18)))</f>
        <v>3661.0045152050711</v>
      </c>
      <c r="CD17" s="101">
        <f>CC17/(Massenstromrechnung!$AA27*Konstanten!$K$3/3.6)+Massenstromrechnung!$X$3</f>
        <v>12.308170551527844</v>
      </c>
      <c r="CE17" s="103" t="str">
        <f>IF(OR(Massenstromrechnung!$Y$6&lt;(CD17*50+Massenstromrechnung!$X$3)/51,(Massenstromrechnung!$Y$6-(CD17*51+Massenstromrechnung!$X$3)/51)&lt;0.7),"trocken","feucht")</f>
        <v>feucht</v>
      </c>
      <c r="CF17" s="104">
        <f>(Massenstromrechnung!$X$4-(Massenstromrechnung!$X$3+CD17)/2)^Konstanten!$E$7*$AK17*$AL17^Konstanten!$F$7*(CD17-Massenstromrechnung!$X$3)^Konstanten!$G$7*((Massenstromrechnung!$X$3+CD17)/2)^Konstanten!$H$7*(Konstanten!$C$7-(CD17-Massenstromrechnung!$X$3)^Konstanten!$I$7*Konstanten!$D$7)</f>
        <v>2569.571464144854</v>
      </c>
      <c r="CG17" s="104">
        <f>IF(CE17="trocken",CF17,IF(Konstanten!$A$18*(Massenstromrechnung!$Y$6^Konstanten!$B$18*(Massenstromrechnung!$X$4-(Iteration!CD17+Massenstromrechnung!$X$3)/2)^Konstanten!$C$18*CF17^Konstanten!$D$18*((Massenstromrechnung!$X$3+Iteration!CD17)/2)^Konstanten!$E$18+(Iteration!CD17-Massenstromrechnung!$X$3)^Konstanten!$F$18)&lt;1,CF17,CF17*Konstanten!$A$18*(Massenstromrechnung!$Y$6^Konstanten!$B$18*(Massenstromrechnung!$X$4-(Iteration!CD17+Massenstromrechnung!$X$3)/2)^Konstanten!$C$18*CF17^Konstanten!$D$18*((Massenstromrechnung!$X$3+Iteration!CD17)/2)^Konstanten!$E$18+(Iteration!CD17-Massenstromrechnung!$X$3)^Konstanten!$F$18)))</f>
        <v>3361.5753115401849</v>
      </c>
      <c r="CH17" s="101">
        <f>CG17/(Massenstromrechnung!$AA27*Konstanten!$K$3/3.6)+Massenstromrechnung!$X$3</f>
        <v>11.87402159744704</v>
      </c>
      <c r="CI17" s="103" t="str">
        <f>IF(OR(Massenstromrechnung!$Y$6&lt;(CH17*50+Massenstromrechnung!$X$3)/51,(Massenstromrechnung!$Y$6-(CH17*51+Massenstromrechnung!$X$3)/51)&lt;0.7),"trocken","feucht")</f>
        <v>feucht</v>
      </c>
      <c r="CJ17" s="104">
        <f>(Massenstromrechnung!$X$4-(Massenstromrechnung!$X$3+CH17)/2)^Konstanten!$E$7*$AK17*$AL17^Konstanten!$F$7*(CH17-Massenstromrechnung!$X$3)^Konstanten!$G$7*((Massenstromrechnung!$X$3+CH17)/2)^Konstanten!$H$7*(Konstanten!$C$7-(CH17-Massenstromrechnung!$X$3)^Konstanten!$I$7*Konstanten!$D$7)</f>
        <v>2637.3659587716443</v>
      </c>
      <c r="CK17" s="104">
        <f>IF(CI17="trocken",CJ17,IF(Konstanten!$A$18*(Massenstromrechnung!$Y$6^Konstanten!$B$18*(Massenstromrechnung!$X$4-(Iteration!CH17+Massenstromrechnung!$X$3)/2)^Konstanten!$C$18*CJ17^Konstanten!$D$18*((Massenstromrechnung!$X$3+Iteration!CH17)/2)^Konstanten!$E$18+(Iteration!CH17-Massenstromrechnung!$X$3)^Konstanten!$F$18)&lt;1,CJ17,CJ17*Konstanten!$A$18*(Massenstromrechnung!$Y$6^Konstanten!$B$18*(Massenstromrechnung!$X$4-(Iteration!CH17+Massenstromrechnung!$X$3)/2)^Konstanten!$C$18*CJ17^Konstanten!$D$18*((Massenstromrechnung!$X$3+Iteration!CH17)/2)^Konstanten!$E$18+(Iteration!CH17-Massenstromrechnung!$X$3)^Konstanten!$F$18)))</f>
        <v>3485.4370821915963</v>
      </c>
      <c r="CL17" s="101">
        <f>CK17/(Massenstromrechnung!$AA27*Konstanten!$K$3/3.6)+Massenstromrechnung!$X$3</f>
        <v>12.053611488882915</v>
      </c>
      <c r="CM17" s="103" t="str">
        <f>IF(OR(Massenstromrechnung!$Y$6&lt;(CL17*50+Massenstromrechnung!$X$3)/51,(Massenstromrechnung!$Y$6-(CL17*51+Massenstromrechnung!$X$3)/51)&lt;0.7),"trocken","feucht")</f>
        <v>feucht</v>
      </c>
      <c r="CN17" s="104">
        <f>(Massenstromrechnung!$X$4-(Massenstromrechnung!$X$3+CL17)/2)^Konstanten!$E$7*$AK17*$AL17^Konstanten!$F$7*(CL17-Massenstromrechnung!$X$3)^Konstanten!$G$7*((Massenstromrechnung!$X$3+CL17)/2)^Konstanten!$H$7*(Konstanten!$C$7-(CL17-Massenstromrechnung!$X$3)^Konstanten!$I$7*Konstanten!$D$7)</f>
        <v>2608.7834256778328</v>
      </c>
      <c r="CO17" s="104">
        <f>IF(CM17="trocken",CN17,IF(Konstanten!$A$18*(Massenstromrechnung!$Y$6^Konstanten!$B$18*(Massenstromrechnung!$X$4-(Iteration!CL17+Massenstromrechnung!$X$3)/2)^Konstanten!$C$18*CN17^Konstanten!$D$18*((Massenstromrechnung!$X$3+Iteration!CL17)/2)^Konstanten!$E$18+(Iteration!CL17-Massenstromrechnung!$X$3)^Konstanten!$F$18)&lt;1,CN17,CN17*Konstanten!$A$18*(Massenstromrechnung!$Y$6^Konstanten!$B$18*(Massenstromrechnung!$X$4-(Iteration!CL17+Massenstromrechnung!$X$3)/2)^Konstanten!$C$18*CN17^Konstanten!$D$18*((Massenstromrechnung!$X$3+Iteration!CL17)/2)^Konstanten!$E$18+(Iteration!CL17-Massenstromrechnung!$X$3)^Konstanten!$F$18)))</f>
        <v>3432.9913761685216</v>
      </c>
      <c r="CP17" s="101">
        <f>IF(CO17/(Massenstromrechnung!$AA27*Konstanten!$K$3/3.6)+Massenstromrechnung!$X$3-Massenstromrechnung!$X$3&lt;1.4,"RLT zu niedrig",CO17/(Massenstromrechnung!$AA27*Konstanten!$K$3/3.6)+Massenstromrechnung!$X$3)</f>
        <v>11.977569312177163</v>
      </c>
      <c r="CQ17" s="103" t="str">
        <f>IF(CP17="RLT zu niedrig","RLT zu niedrig",IF(OR(Massenstromrechnung!$Y$6&lt;(CP17*50+Massenstromrechnung!$X$3)/51,(Massenstromrechnung!$Y$6-(CP17*51+Massenstromrechnung!$X$3)/51)&lt;0.7),"trocken","feucht"))</f>
        <v>feucht</v>
      </c>
      <c r="CR17" s="104">
        <f>IF(CP17="RLT zu niedrig","RLT zu niedrig",(Massenstromrechnung!$X$4-(Massenstromrechnung!$X$3+CP17)/2)^Konstanten!$E$7*$AK17*$AL17^Konstanten!$F$7*(CP17-Massenstromrechnung!$X$3)^Konstanten!$G$7*((Massenstromrechnung!$X$3+CP17)/2)^Konstanten!$H$7*(Konstanten!$C$7-(CP17-Massenstromrechnung!$X$3)^Konstanten!$I$7*Konstanten!$D$7))</f>
        <v>2620.788842525742</v>
      </c>
      <c r="CS17" s="104">
        <f>IF(CP17="RLT zu niedrig","RLT zu niedrig",IF(CQ17="trocken",CR17,IF(Konstanten!$A$18*(Massenstromrechnung!$Y$6^Konstanten!$B$18*(Massenstromrechnung!$X$4-(Iteration!CP17+Massenstromrechnung!$X$3)/2)^Konstanten!$C$18*CR17^Konstanten!$D$18*((Massenstromrechnung!$X$3+Iteration!CP17)/2)^Konstanten!$E$18+(Iteration!CP17-Massenstromrechnung!$X$3)^Konstanten!$F$18)&lt;1,CR17,CR17*Konstanten!$A$18*(Massenstromrechnung!$Y$6^Konstanten!$B$18*(Massenstromrechnung!$X$4-(Iteration!CP17+Massenstromrechnung!$X$3)/2)^Konstanten!$C$18*CR17^Konstanten!$D$18*((Massenstromrechnung!$X$3+Iteration!CP17)/2)^Konstanten!$E$18+(Iteration!CP17-Massenstromrechnung!$X$3)^Konstanten!$F$18))))</f>
        <v>3454.9806092969739</v>
      </c>
    </row>
    <row r="18" spans="1:97" x14ac:dyDescent="0.3">
      <c r="A18">
        <f>Massenstromrechnung!B28</f>
        <v>1480</v>
      </c>
      <c r="B18" s="27">
        <v>985</v>
      </c>
      <c r="C18" s="103">
        <f>IF(Massenstromrechnung!$K$3-10&lt;=Massenstromrechnung!$K$4,Massenstromrechnung!$K$3-0.75*(Massenstromrechnung!$K$3-Massenstromrechnung!$K$4),Massenstromrechnung!$K$3-10)</f>
        <v>65</v>
      </c>
      <c r="D18" s="103">
        <f>-1*((Massenstromrechnung!$K$3+C18)/2-Massenstromrechnung!$K$4)^Konstanten!$E$4*Massenstromrechnung!$B28*Massenstromrechnung!$C28^Konstanten!$F$4*(Massenstromrechnung!$K$3-C18)^Konstanten!$G$4*((Massenstromrechnung!$K$3+C18)/2)^Konstanten!$H$4*(Konstanten!$C$4-((Massenstromrechnung!$K$3-C18)^Konstanten!$I$4*Konstanten!$D$4))/(Massenstromrechnung!$F28*Konstanten!$K$3/3.6)+Massenstromrechnung!$K$3</f>
        <v>65</v>
      </c>
      <c r="E18" s="103">
        <f t="shared" si="6"/>
        <v>65</v>
      </c>
      <c r="F18" s="103">
        <f>-1*((Massenstromrechnung!$K$3+E18)/2-Massenstromrechnung!$K$4)^Konstanten!$E$4*Massenstromrechnung!$B28*Massenstromrechnung!$C28^Konstanten!$F$4*(Massenstromrechnung!$K$3-E18)^Konstanten!$G$4*((Massenstromrechnung!$K$3+E18)/2)^Konstanten!$H$4*(Konstanten!$C$4-((Massenstromrechnung!$K$3-E18)^Konstanten!$I$4*Konstanten!$D$4))/(Massenstromrechnung!$F28*Konstanten!$K$3/3.6)+Massenstromrechnung!$K$3</f>
        <v>65</v>
      </c>
      <c r="G18" s="103">
        <f t="shared" si="0"/>
        <v>65</v>
      </c>
      <c r="H18" s="103">
        <f>-1*((Massenstromrechnung!$K$3+G18)/2-Massenstromrechnung!$K$4)^Konstanten!$E$4*Massenstromrechnung!$B28*Massenstromrechnung!$C28^Konstanten!$F$4*(Massenstromrechnung!$K$3-G18)^Konstanten!$G$4*((Massenstromrechnung!$K$3+G18)/2)^Konstanten!$H$4*(Konstanten!$C$4-((Massenstromrechnung!$K$3-G18)^Konstanten!$I$4*Konstanten!$D$4))/(Massenstromrechnung!$F28*Konstanten!$K$3/3.6)+Massenstromrechnung!$K$3</f>
        <v>65</v>
      </c>
      <c r="I18" s="103">
        <f t="shared" si="1"/>
        <v>65</v>
      </c>
      <c r="J18" s="103">
        <f>-1*((Massenstromrechnung!$K$3+I18)/2-Massenstromrechnung!$K$4)^Konstanten!$E$4*Massenstromrechnung!$B28*Massenstromrechnung!$C28^Konstanten!$F$4*(Massenstromrechnung!$K$3-I18)^Konstanten!$G$4*((Massenstromrechnung!$K$3+I18)/2)^Konstanten!$H$4*(Konstanten!$C$4-((Massenstromrechnung!$K$3-I18)^Konstanten!$I$4*Konstanten!$D$4))/(Massenstromrechnung!$F28*Konstanten!$K$3/3.6)+Massenstromrechnung!$K$3</f>
        <v>65</v>
      </c>
      <c r="K18" s="103">
        <f t="shared" si="2"/>
        <v>65</v>
      </c>
      <c r="L18" s="103">
        <f>-1*((Massenstromrechnung!$K$3+K18)/2-Massenstromrechnung!$K$4)^Konstanten!$E$4*Massenstromrechnung!$B28*Massenstromrechnung!$C28^Konstanten!$F$4*(Massenstromrechnung!$K$3-K18)^Konstanten!$G$4*((Massenstromrechnung!$K$3+K18)/2)^Konstanten!$H$4*(Konstanten!$C$4-((Massenstromrechnung!$K$3-K18)^Konstanten!$I$4*Konstanten!$D$4))/(Massenstromrechnung!$F28*Konstanten!$K$3/3.6)+Massenstromrechnung!$K$3</f>
        <v>65</v>
      </c>
      <c r="N18">
        <f>'Katalogdaten M3G045'!B32</f>
        <v>1480</v>
      </c>
      <c r="O18" s="27">
        <v>985</v>
      </c>
      <c r="P18" s="103">
        <f>IF(Massenstromrechnung!$K$3-10&lt;=Massenstromrechnung!$K$4,Massenstromrechnung!$K$3-0.75*(Massenstromrechnung!$K$3-Massenstromrechnung!$K$4),Massenstromrechnung!$K$3-10)</f>
        <v>65</v>
      </c>
      <c r="Q18" s="103" t="e">
        <f>-1*((Massenstromrechnung!$K$3+P18)/2-Massenstromrechnung!$K$4)^Konstanten!$E$4*Massenstromrechnung!$B28*Massenstromrechnung!$C28^Konstanten!$F$4*(Massenstromrechnung!$K$3-P18)^Konstanten!$G$4*((Massenstromrechnung!$K$3+P18)/2)^Konstanten!$H$4*(Konstanten!$C$4-((Massenstromrechnung!$K$3-P18)^Konstanten!$I$4*Konstanten!$D$4))/(Massenstromrechnung!#REF!*Konstanten!$K$3/3.6)+Massenstromrechnung!$K$3</f>
        <v>#REF!</v>
      </c>
      <c r="R18" s="103" t="e">
        <f t="shared" si="7"/>
        <v>#REF!</v>
      </c>
      <c r="S18" s="103" t="e">
        <f>-1*((Massenstromrechnung!$K$3+R18)/2-Massenstromrechnung!$K$4)^Konstanten!$E$4*Massenstromrechnung!$B28*Massenstromrechnung!$C28^Konstanten!$F$4*(Massenstromrechnung!$K$3-R18)^Konstanten!$G$4*((Massenstromrechnung!$K$3+R18)/2)^Konstanten!$H$4*(Konstanten!$C$4-((Massenstromrechnung!$K$3-R18)^Konstanten!$I$4*Konstanten!$D$4))/(Massenstromrechnung!#REF!*Konstanten!$K$3/3.6)+Massenstromrechnung!$K$3</f>
        <v>#REF!</v>
      </c>
      <c r="T18" s="103" t="e">
        <f t="shared" si="3"/>
        <v>#REF!</v>
      </c>
      <c r="U18" s="103" t="e">
        <f>-1*((Massenstromrechnung!$K$3+T18)/2-Massenstromrechnung!$K$4)^Konstanten!$E$4*Massenstromrechnung!$B28*Massenstromrechnung!$C28^Konstanten!$F$4*(Massenstromrechnung!$K$3-T18)^Konstanten!$G$4*((Massenstromrechnung!$K$3+T18)/2)^Konstanten!$H$4*(Konstanten!$C$4-((Massenstromrechnung!$K$3-T18)^Konstanten!$I$4*Konstanten!$D$4))/(Massenstromrechnung!#REF!*Konstanten!$K$3/3.6)+Massenstromrechnung!$K$3</f>
        <v>#REF!</v>
      </c>
      <c r="V18" s="103" t="e">
        <f t="shared" si="4"/>
        <v>#REF!</v>
      </c>
      <c r="W18" s="103" t="e">
        <f>-1*((Massenstromrechnung!$K$3+V18)/2-Massenstromrechnung!$K$4)^Konstanten!$E$4*Massenstromrechnung!$B28*Massenstromrechnung!$C28^Konstanten!$F$4*(Massenstromrechnung!$K$3-V18)^Konstanten!$G$4*((Massenstromrechnung!$K$3+V18)/2)^Konstanten!$H$4*(Konstanten!$C$4-((Massenstromrechnung!$K$3-V18)^Konstanten!$I$4*Konstanten!$D$4))/(Massenstromrechnung!#REF!*Konstanten!$K$3/3.6)+Massenstromrechnung!$K$3</f>
        <v>#REF!</v>
      </c>
      <c r="X18" s="103" t="e">
        <f t="shared" si="5"/>
        <v>#REF!</v>
      </c>
      <c r="Y18" s="103" t="e">
        <f>-1*((Massenstromrechnung!$K$3+X18)/2-Massenstromrechnung!$K$4)^Konstanten!$E$4*Massenstromrechnung!$B28*Massenstromrechnung!$C28^Konstanten!$F$4*(Massenstromrechnung!$K$3-X18)^Konstanten!$G$4*((Massenstromrechnung!$K$3+X18)/2)^Konstanten!$H$4*(Konstanten!$C$4-((Massenstromrechnung!$K$3-X18)^Konstanten!$I$4*Konstanten!$D$4))/(Massenstromrechnung!#REF!*Konstanten!$K$3/3.6)+Massenstromrechnung!$K$3</f>
        <v>#REF!</v>
      </c>
      <c r="AA18">
        <f t="shared" si="8"/>
        <v>1480</v>
      </c>
      <c r="AB18">
        <f t="shared" si="8"/>
        <v>985</v>
      </c>
      <c r="AC18" s="103">
        <f>IF(Massenstromrechnung!$K$3-10&lt;=Massenstromrechnung!$K$4,Massenstromrechnung!$K$3-0.75*(Massenstromrechnung!$K$3-Massenstromrechnung!$K$4),Massenstromrechnung!$K$3-10)</f>
        <v>65</v>
      </c>
      <c r="AD18" s="103">
        <f>-1*((Massenstromrechnung!$K$3+AC18)/2-Massenstromrechnung!$K$4)^Konstanten!$E$5*$AA18*$AB18^Konstanten!$F$5*(Massenstromrechnung!$K$3-AC18)^Konstanten!$G$5*((Massenstromrechnung!$K$3+AC18)/2)^Konstanten!$H$5*(Konstanten!$C$5-((Massenstromrechnung!$K$3-AC18)^Konstanten!$I$5*Konstanten!$D$5))/(Massenstromrechnung!$L28*Konstanten!$K$3/3.6)+Massenstromrechnung!$K$3</f>
        <v>65</v>
      </c>
      <c r="AE18" s="103">
        <f>-1*((Massenstromrechnung!$K$3+AD18)/2-Massenstromrechnung!$K$4)^Konstanten!$E$5*$AA18*$AB18^Konstanten!$F$5*(Massenstromrechnung!$K$3-AD18)^Konstanten!$G$5*((Massenstromrechnung!$K$3+AD18)/2)^Konstanten!$H$5*(Konstanten!$C$5-((Massenstromrechnung!$K$3-AD18)^Konstanten!$I$5*Konstanten!$D$5))/(Massenstromrechnung!$L28*Konstanten!$K$3/3.6)+Massenstromrechnung!$K$3</f>
        <v>65</v>
      </c>
      <c r="AF18" s="103">
        <f>-1*((Massenstromrechnung!$K$3+AE18)/2-Massenstromrechnung!$K$4)^Konstanten!$E$5*$AA18*$AB18^Konstanten!$F$5*(Massenstromrechnung!$K$3-AE18)^Konstanten!$G$5*((Massenstromrechnung!$K$3+AE18)/2)^Konstanten!$H$5*(Konstanten!$C$5-((Massenstromrechnung!$K$3-AE18)^Konstanten!$I$5*Konstanten!$D$5))/(Massenstromrechnung!$L28*Konstanten!$K$3/3.6)+Massenstromrechnung!$K$3</f>
        <v>65</v>
      </c>
      <c r="AG18" s="103">
        <f>-1*((Massenstromrechnung!$K$3+AF18)/2-Massenstromrechnung!$K$4)^Konstanten!$E$5*$AA18*$AB18^Konstanten!$F$5*(Massenstromrechnung!$K$3-AF18)^Konstanten!$G$5*((Massenstromrechnung!$K$3+AF18)/2)^Konstanten!$H$5*(Konstanten!$C$5-((Massenstromrechnung!$K$3-AF18)^Konstanten!$I$5*Konstanten!$D$5))/(Massenstromrechnung!$L28*Konstanten!$K$3/3.6)+Massenstromrechnung!$K$3</f>
        <v>65</v>
      </c>
      <c r="AH18" s="103">
        <f>-1*((Massenstromrechnung!$K$3+AG18)/2-Massenstromrechnung!$K$4)^Konstanten!$E$5*$AA18*$AB18^Konstanten!$F$5*(Massenstromrechnung!$K$3-AG18)^Konstanten!$G$5*((Massenstromrechnung!$K$3+AG18)/2)^Konstanten!$H$5*(Konstanten!$C$5-((Massenstromrechnung!$K$3-AG18)^Konstanten!$I$5*Konstanten!$D$5))/(Massenstromrechnung!$L28*Konstanten!$K$3/3.6)+Massenstromrechnung!$K$3</f>
        <v>65</v>
      </c>
      <c r="AI18" s="103">
        <f>-1*((Massenstromrechnung!$K$3+AH18)/2-Massenstromrechnung!$K$4)^Konstanten!$E$5*$AA18*$AB18^Konstanten!$F$5*(Massenstromrechnung!$K$3-AH18)^Konstanten!$G$5*((Massenstromrechnung!$K$3+AH18)/2)^Konstanten!$H$5*(Konstanten!$C$5-((Massenstromrechnung!$K$3-AH18)^Konstanten!$I$5*Konstanten!$D$5))/(Massenstromrechnung!$L28*Konstanten!$K$3/3.6)+Massenstromrechnung!$K$3</f>
        <v>65</v>
      </c>
      <c r="AK18">
        <f t="shared" si="9"/>
        <v>1480</v>
      </c>
      <c r="AL18">
        <f t="shared" si="9"/>
        <v>985</v>
      </c>
      <c r="AM18" s="103">
        <f>Massenstromrechnung!$X$3+2</f>
        <v>9</v>
      </c>
      <c r="AN18" s="103" t="str">
        <f>IF(OR(Massenstromrechnung!$Y$6&lt;(AM18*50+Massenstromrechnung!$X$3)/51,(Massenstromrechnung!$Y$6-(AM18*51+Massenstromrechnung!$X$3)/51)&lt;0.7),"trocken","feucht")</f>
        <v>feucht</v>
      </c>
      <c r="AO18" s="104">
        <f>(Massenstromrechnung!$X$4-(Massenstromrechnung!$X$3+AM18)/2)^Konstanten!$E$6*$AK18*$AL18^Konstanten!$F$6*(AM18-Massenstromrechnung!$X$3)^Konstanten!$G$6*((Massenstromrechnung!$X$3+AM18)/2)^Konstanten!$H$6*(Konstanten!$C$6-(AM18-Massenstromrechnung!$X$3)^Konstanten!$I$6*Konstanten!$D$6)</f>
        <v>2269.4749692839623</v>
      </c>
      <c r="AP18" s="104">
        <f>IF(AN18="trocken",AO18,IF(Konstanten!$A$18*(Massenstromrechnung!$Y$6^Konstanten!$B$18*(Massenstromrechnung!$X$4-(Iteration!AM18+Massenstromrechnung!$X$3)/2)^Konstanten!$C$18*AO18^Konstanten!$D$18*((Massenstromrechnung!$X$3+Iteration!AM18)/2)^Konstanten!$E$18+(Iteration!AM18-Massenstromrechnung!$X$3)^Konstanten!$F$18)&lt;1,AO18,AO18*Konstanten!$A$18*(Massenstromrechnung!$Y$6^Konstanten!$B$18*(Massenstromrechnung!$X$4-(Iteration!AM18+Massenstromrechnung!$X$3)/2)^Konstanten!$C$18*AO18^Konstanten!$D$18*((Massenstromrechnung!$X$3+Iteration!AM18)/2)^Konstanten!$E$18+(Iteration!AM18-Massenstromrechnung!$X$3)^Konstanten!$F$18)))</f>
        <v>3317.9203019811598</v>
      </c>
      <c r="AQ18" s="101">
        <f>AP18/(Massenstromrechnung!$R28*Konstanten!$K$3/3.6)+Massenstromrechnung!$X$3</f>
        <v>16.414530343280763</v>
      </c>
      <c r="AR18" s="103" t="str">
        <f>IF(OR(Massenstromrechnung!$Y$6&lt;(AQ18*50+Massenstromrechnung!$X$3)/51,(Massenstromrechnung!$Y$6-(AQ18*51+Massenstromrechnung!$X$3)/51)&lt;0.7),"trocken","feucht")</f>
        <v>trocken</v>
      </c>
      <c r="AS18" s="104">
        <f>(Massenstromrechnung!$X$4-(Massenstromrechnung!$X$3+AQ18)/2)^Konstanten!$E$6*$AK18*$AL18^Konstanten!$F$6*(AQ18-Massenstromrechnung!$X$3)^Konstanten!$G$6*((Massenstromrechnung!$X$3+AQ18)/2)^Konstanten!$H$6*(Konstanten!$C$6-(AQ18-Massenstromrechnung!$X$3)^Konstanten!$I$6*Konstanten!$D$6)</f>
        <v>1637.0335175271489</v>
      </c>
      <c r="AT18" s="104">
        <f>IF(AR18="trocken",AS18,IF(Konstanten!$A$18*(Massenstromrechnung!$Y$6^Konstanten!$B$18*(Massenstromrechnung!$X$4-(Iteration!AQ18+Massenstromrechnung!$X$3)/2)^Konstanten!$C$18*AS18^Konstanten!$D$18*((Massenstromrechnung!$X$3+Iteration!AQ18)/2)^Konstanten!$E$18+(Iteration!AQ18-Massenstromrechnung!$X$3)^Konstanten!$F$18)&lt;1,AS18,AS18*Konstanten!$A$18*(Massenstromrechnung!$Y$6^Konstanten!$B$18*(Massenstromrechnung!$X$4-(Iteration!AQ18+Massenstromrechnung!$X$3)/2)^Konstanten!$C$18*AS18^Konstanten!$D$18*((Massenstromrechnung!$X$3+Iteration!AQ18)/2)^Konstanten!$E$18+(Iteration!AQ18-Massenstromrechnung!$X$3)^Konstanten!$F$18)))</f>
        <v>1637.0335175271489</v>
      </c>
      <c r="AU18" s="101">
        <f>AT18/(Massenstromrechnung!$R28*Konstanten!$K$3/3.6)+Massenstromrechnung!$X$3</f>
        <v>11.645048801963206</v>
      </c>
      <c r="AV18" s="103" t="str">
        <f>IF(OR(Massenstromrechnung!$Y$6&lt;(AU18*50+Massenstromrechnung!$X$3)/51,(Massenstromrechnung!$Y$6-(AU18*51+Massenstromrechnung!$X$3)/51)&lt;0.7),"trocken","feucht")</f>
        <v>feucht</v>
      </c>
      <c r="AW18" s="104">
        <f>(Massenstromrechnung!$X$4-(Massenstromrechnung!$X$3+AU18)/2)^Konstanten!$E$6*$AK18*$AL18^Konstanten!$F$6*(AU18-Massenstromrechnung!$X$3)^Konstanten!$G$6*((Massenstromrechnung!$X$3+AU18)/2)^Konstanten!$H$6*(Konstanten!$C$6-(AU18-Massenstromrechnung!$X$3)^Konstanten!$I$6*Konstanten!$D$6)</f>
        <v>2042.1907555050536</v>
      </c>
      <c r="AX18" s="104">
        <f>IF(AV18="trocken",AW18,IF(Konstanten!$A$18*(Massenstromrechnung!$Y$6^Konstanten!$B$18*(Massenstromrechnung!$X$4-(Iteration!AU18+Massenstromrechnung!$X$3)/2)^Konstanten!$C$18*AW18^Konstanten!$D$18*((Massenstromrechnung!$X$3+Iteration!AU18)/2)^Konstanten!$E$18+(Iteration!AU18-Massenstromrechnung!$X$3)^Konstanten!$F$18)&lt;1,AW18,AW18*Konstanten!$A$18*(Massenstromrechnung!$Y$6^Konstanten!$B$18*(Massenstromrechnung!$X$4-(Iteration!AU18+Massenstromrechnung!$X$3)/2)^Konstanten!$C$18*AW18^Konstanten!$D$18*((Massenstromrechnung!$X$3+Iteration!AU18)/2)^Konstanten!$E$18+(Iteration!AU18-Massenstromrechnung!$X$3)^Konstanten!$F$18)))</f>
        <v>2735.8442509868755</v>
      </c>
      <c r="AY18" s="101">
        <f>AX18/(Massenstromrechnung!$R28*Konstanten!$K$3/3.6)+Massenstromrechnung!$X$3</f>
        <v>14.762901568198194</v>
      </c>
      <c r="AZ18" s="103" t="str">
        <f>IF(OR(Massenstromrechnung!$Y$6&lt;(AY18*50+Massenstromrechnung!$X$3)/51,(Massenstromrechnung!$Y$6-(AY18*51+Massenstromrechnung!$X$3)/51)&lt;0.7),"trocken","feucht")</f>
        <v>feucht</v>
      </c>
      <c r="BA18" s="104">
        <f>(Massenstromrechnung!$X$4-(Massenstromrechnung!$X$3+AY18)/2)^Konstanten!$E$6*$AK18*$AL18^Konstanten!$F$6*(AY18-Massenstromrechnung!$X$3)^Konstanten!$G$6*((Massenstromrechnung!$X$3+AY18)/2)^Konstanten!$H$6*(Konstanten!$C$6-(AY18-Massenstromrechnung!$X$3)^Konstanten!$I$6*Konstanten!$D$6)</f>
        <v>1765.0697307394312</v>
      </c>
      <c r="BB18" s="104">
        <f>IF(AZ18="trocken",BA18,IF(Konstanten!$A$18*(Massenstromrechnung!$Y$6^Konstanten!$B$18*(Massenstromrechnung!$X$4-(Iteration!AY18+Massenstromrechnung!$X$3)/2)^Konstanten!$C$18*BA18^Konstanten!$D$18*((Massenstromrechnung!$X$3+Iteration!AY18)/2)^Konstanten!$E$18+(Iteration!AY18-Massenstromrechnung!$X$3)^Konstanten!$F$18)&lt;1,BA18,BA18*Konstanten!$A$18*(Massenstromrechnung!$Y$6^Konstanten!$B$18*(Massenstromrechnung!$X$4-(Iteration!AY18+Massenstromrechnung!$X$3)/2)^Konstanten!$C$18*BA18^Konstanten!$D$18*((Massenstromrechnung!$X$3+Iteration!AY18)/2)^Konstanten!$E$18+(Iteration!AY18-Massenstromrechnung!$X$3)^Konstanten!$F$18)))</f>
        <v>2215.7996191070542</v>
      </c>
      <c r="BC18" s="101">
        <f>BB18/(Massenstromrechnung!$R28*Konstanten!$K$3/3.6)+Massenstromrechnung!$X$3</f>
        <v>13.28728566393147</v>
      </c>
      <c r="BD18" s="103" t="str">
        <f>IF(OR(Massenstromrechnung!$Y$6&lt;(BC18*50+Massenstromrechnung!$X$3)/51,(Massenstromrechnung!$Y$6-(BC18*51+Massenstromrechnung!$X$3)/51)&lt;0.7),"trocken","feucht")</f>
        <v>feucht</v>
      </c>
      <c r="BE18" s="104">
        <f>(Massenstromrechnung!$X$4-(Massenstromrechnung!$X$3+BC18)/2)^Konstanten!$E$6*$AK18*$AL18^Konstanten!$F$6*(BC18-Massenstromrechnung!$X$3)^Konstanten!$G$6*((Massenstromrechnung!$X$3+BC18)/2)^Konstanten!$H$6*(Konstanten!$C$6-(BC18-Massenstromrechnung!$X$3)^Konstanten!$I$6*Konstanten!$D$6)</f>
        <v>1889.9603807988756</v>
      </c>
      <c r="BF18" s="104">
        <f>IF(BD18="trocken",BE18,IF(Konstanten!$A$18*(Massenstromrechnung!$Y$6^Konstanten!$B$18*(Massenstromrechnung!$X$4-(Iteration!BC18+Massenstromrechnung!$X$3)/2)^Konstanten!$C$18*BE18^Konstanten!$D$18*((Massenstromrechnung!$X$3+Iteration!BC18)/2)^Konstanten!$E$18+(Iteration!BC18-Massenstromrechnung!$X$3)^Konstanten!$F$18)&lt;1,BE18,BE18*Konstanten!$A$18*(Massenstromrechnung!$Y$6^Konstanten!$B$18*(Massenstromrechnung!$X$4-(Iteration!BC18+Massenstromrechnung!$X$3)/2)^Konstanten!$C$18*BE18^Konstanten!$D$18*((Massenstromrechnung!$X$3+Iteration!BC18)/2)^Konstanten!$E$18+(Iteration!BC18-Massenstromrechnung!$X$3)^Konstanten!$F$18)))</f>
        <v>2439.4481029595904</v>
      </c>
      <c r="BG18" s="101">
        <f>BF18/(Massenstromrechnung!$R28*Konstanten!$K$3/3.6)+Massenstromrechnung!$X$3</f>
        <v>13.921883618620495</v>
      </c>
      <c r="BH18" s="103" t="str">
        <f>IF(OR(Massenstromrechnung!$Y$6&lt;(BG18*50+Massenstromrechnung!$X$3)/51,(Massenstromrechnung!$Y$6-(BG18*51+Massenstromrechnung!$X$3)/51)&lt;0.7),"trocken","feucht")</f>
        <v>feucht</v>
      </c>
      <c r="BI18" s="104">
        <f>(Massenstromrechnung!$X$4-(Massenstromrechnung!$X$3+BG18)/2)^Konstanten!$E$6*$AK18*$AL18^Konstanten!$F$6*(BG18-Massenstromrechnung!$X$3)^Konstanten!$G$6*((Massenstromrechnung!$X$3+BG18)/2)^Konstanten!$H$6*(Konstanten!$C$6-(BG18-Massenstromrechnung!$X$3)^Konstanten!$I$6*Konstanten!$D$6)</f>
        <v>1834.9120579438254</v>
      </c>
      <c r="BJ18" s="104">
        <f>IF(BH18="trocken",BI18,IF(Konstanten!$A$18*(Massenstromrechnung!$Y$6^Konstanten!$B$18*(Massenstromrechnung!$X$4-(Iteration!BG18+Massenstromrechnung!$X$3)/2)^Konstanten!$C$18*BI18^Konstanten!$D$18*((Massenstromrechnung!$X$3+Iteration!BG18)/2)^Konstanten!$E$18+(Iteration!BG18-Massenstromrechnung!$X$3)^Konstanten!$F$18)&lt;1,BI18,BI18*Konstanten!$A$18*(Massenstromrechnung!$Y$6^Konstanten!$B$18*(Massenstromrechnung!$X$4-(Iteration!BG18+Massenstromrechnung!$X$3)/2)^Konstanten!$C$18*BI18^Konstanten!$D$18*((Massenstromrechnung!$X$3+Iteration!BG18)/2)^Konstanten!$E$18+(Iteration!BG18-Massenstromrechnung!$X$3)^Konstanten!$F$18)))</f>
        <v>2338.9462243019289</v>
      </c>
      <c r="BK18" s="101">
        <f>IF(BJ18/(Massenstromrechnung!$R28*Konstanten!$K$3/3.6)+Massenstromrechnung!$X$3-Massenstromrechnung!$X$3&lt;1.4,"RLT zu niedrig",BJ18/(Massenstromrechnung!$R28*Konstanten!$K$3/3.6)+Massenstromrechnung!$X$3)</f>
        <v>13.636711613248846</v>
      </c>
      <c r="BL18" s="103" t="str">
        <f>IF(BK18="RLT zu niedrig","RLT zu niedrig",IF(OR(Massenstromrechnung!$Y$6&lt;(BK18*50+Massenstromrechnung!$X$3)/51,(Massenstromrechnung!$Y$6-(BK18*51+Massenstromrechnung!$X$3)/51)&lt;0.7),"trocken","feucht"))</f>
        <v>feucht</v>
      </c>
      <c r="BM18" s="104">
        <f>IF(BK18="RLT zu niedrig","RLT zu niedrig",(Massenstromrechnung!$X$4-(Massenstromrechnung!$X$3+BK18)/2)^Konstanten!$E$6*$AK18*$AL18^Konstanten!$F$6*(BK18-Massenstromrechnung!$X$3)^Konstanten!$G$6*((Massenstromrechnung!$X$3+BK18)/2)^Konstanten!$H$6*(Konstanten!$C$6-(BK18-Massenstromrechnung!$X$3)^Konstanten!$I$6*Konstanten!$D$6))</f>
        <v>1859.3904624721977</v>
      </c>
      <c r="BN18" s="104">
        <f>IF(BK18="RLT zu niedrig","RLT zu niedrig",IF(BL18="trocken",BM18,IF(Konstanten!$A$18*(Massenstromrechnung!$Y$6^Konstanten!$B$18*(Massenstromrechnung!$X$4-(Iteration!BK18+Massenstromrechnung!$X$3)/2)^Konstanten!$C$18*BM18^Konstanten!$D$18*((Massenstromrechnung!$X$3+Iteration!BK18)/2)^Konstanten!$E$18+(Iteration!BK18-Massenstromrechnung!$X$3)^Konstanten!$F$18)&lt;1,BM18,BM18*Konstanten!$A$18*(Massenstromrechnung!$Y$6^Konstanten!$B$18*(Massenstromrechnung!$X$4-(Iteration!BK18+Massenstromrechnung!$X$3)/2)^Konstanten!$C$18*BM18^Konstanten!$D$18*((Massenstromrechnung!$X$3+Iteration!BK18)/2)^Konstanten!$E$18+(Iteration!BK18-Massenstromrechnung!$X$3)^Konstanten!$F$18))))</f>
        <v>2383.2477461140852</v>
      </c>
      <c r="BO18" s="101"/>
      <c r="BP18">
        <f t="shared" si="10"/>
        <v>1480</v>
      </c>
      <c r="BQ18">
        <f t="shared" si="10"/>
        <v>985</v>
      </c>
      <c r="BR18" s="103">
        <f>Massenstromrechnung!$X$3+2</f>
        <v>9</v>
      </c>
      <c r="BS18" s="103" t="str">
        <f>IF(OR(Massenstromrechnung!$Y$6&lt;(BR18*50+Massenstromrechnung!$X$3)/51,(Massenstromrechnung!$Y$6-(BR18*51+Massenstromrechnung!$X$3)/51)&lt;0.7),"trocken","feucht")</f>
        <v>feucht</v>
      </c>
      <c r="BT18" s="104">
        <f>(Massenstromrechnung!$X$4-(Massenstromrechnung!$X$3+BR18)/2)^Konstanten!$E$7*$AK18*$AL18^Konstanten!$F$7*(BR18-Massenstromrechnung!$X$3)^Konstanten!$G$7*((Massenstromrechnung!$X$3+BR18)/2)^Konstanten!$H$7*(Konstanten!$C$7-(BR18-Massenstromrechnung!$X$3)^Konstanten!$I$7*Konstanten!$D$7)</f>
        <v>2462.129012124672</v>
      </c>
      <c r="BU18" s="104">
        <f>IF(BS18="trocken",BT18,IF(Konstanten!$A$18*(Massenstromrechnung!$Y$6^Konstanten!$B$18*(Massenstromrechnung!$X$4-(Iteration!BR18+Massenstromrechnung!$X$3)/2)^Konstanten!$C$18*BT18^Konstanten!$D$18*((Massenstromrechnung!$X$3+Iteration!BR18)/2)^Konstanten!$E$18+(Iteration!BR18-Massenstromrechnung!$X$3)^Konstanten!$F$18)&lt;1,BT18,BT18*Konstanten!$A$18*(Massenstromrechnung!$Y$6^Konstanten!$B$18*(Massenstromrechnung!$X$4-(Iteration!BR18+Massenstromrechnung!$X$3)/2)^Konstanten!$C$18*BT18^Konstanten!$D$18*((Massenstromrechnung!$X$3+Iteration!BR18)/2)^Konstanten!$E$18+(Iteration!BR18-Massenstromrechnung!$X$3)^Konstanten!$F$18)))</f>
        <v>3591.1094383745835</v>
      </c>
      <c r="BV18" s="101">
        <f>BU18/(Massenstromrechnung!$AA28*Konstanten!$K$3/3.6)+Massenstromrechnung!$X$3</f>
        <v>13.898777302000486</v>
      </c>
      <c r="BW18" s="103" t="str">
        <f>IF(OR(Massenstromrechnung!$Y$6&lt;(BV18*50+Massenstromrechnung!$X$3)/51,(Massenstromrechnung!$Y$6-(BV18*51+Massenstromrechnung!$X$3)/51)&lt;0.7),"trocken","feucht")</f>
        <v>feucht</v>
      </c>
      <c r="BX18" s="104">
        <f>(Massenstromrechnung!$X$4-(Massenstromrechnung!$X$3+BV18)/2)^Konstanten!$E$7*$AK18*$AL18^Konstanten!$F$7*(BV18-Massenstromrechnung!$X$3)^Konstanten!$G$7*((Massenstromrechnung!$X$3+BV18)/2)^Konstanten!$H$7*(Konstanten!$C$7-(BV18-Massenstromrechnung!$X$3)^Konstanten!$I$7*Konstanten!$D$7)</f>
        <v>1759.6490501367182</v>
      </c>
      <c r="BY18" s="104">
        <f>IF(BW18="trocken",BX18,IF(Konstanten!$A$18*(Massenstromrechnung!$Y$6^Konstanten!$B$18*(Massenstromrechnung!$X$4-(Iteration!BV18+Massenstromrechnung!$X$3)/2)^Konstanten!$C$18*BX18^Konstanten!$D$18*((Massenstromrechnung!$X$3+Iteration!BV18)/2)^Konstanten!$E$18+(Iteration!BV18-Massenstromrechnung!$X$3)^Konstanten!$F$18)&lt;1,BX18,BX18*Konstanten!$A$18*(Massenstromrechnung!$Y$6^Konstanten!$B$18*(Massenstromrechnung!$X$4-(Iteration!BV18+Massenstromrechnung!$X$3)/2)^Konstanten!$C$18*BX18^Konstanten!$D$18*((Massenstromrechnung!$X$3+Iteration!BV18)/2)^Konstanten!$E$18+(Iteration!BV18-Massenstromrechnung!$X$3)^Konstanten!$F$18)))</f>
        <v>2246.885485333743</v>
      </c>
      <c r="BZ18" s="101">
        <f>BY18/(Massenstromrechnung!$AA28*Konstanten!$K$3/3.6)+Massenstromrechnung!$X$3</f>
        <v>11.316427235765547</v>
      </c>
      <c r="CA18" s="103" t="str">
        <f>IF(OR(Massenstromrechnung!$Y$6&lt;(BZ18*50+Massenstromrechnung!$X$3)/51,(Massenstromrechnung!$Y$6-(BZ18*51+Massenstromrechnung!$X$3)/51)&lt;0.7),"trocken","feucht")</f>
        <v>feucht</v>
      </c>
      <c r="CB18" s="104">
        <f>(Massenstromrechnung!$X$4-(Massenstromrechnung!$X$3+BZ18)/2)^Konstanten!$E$7*$AK18*$AL18^Konstanten!$F$7*(BZ18-Massenstromrechnung!$X$3)^Konstanten!$G$7*((Massenstromrechnung!$X$3+BZ18)/2)^Konstanten!$H$7*(Konstanten!$C$7-(BZ18-Massenstromrechnung!$X$3)^Konstanten!$I$7*Konstanten!$D$7)</f>
        <v>2044.0291390320363</v>
      </c>
      <c r="CC18" s="104">
        <f>IF(CA18="trocken",CB18,IF(Konstanten!$A$18*(Massenstromrechnung!$Y$6^Konstanten!$B$18*(Massenstromrechnung!$X$4-(Iteration!BZ18+Massenstromrechnung!$X$3)/2)^Konstanten!$C$18*CB18^Konstanten!$D$18*((Massenstromrechnung!$X$3+Iteration!BZ18)/2)^Konstanten!$E$18+(Iteration!BZ18-Massenstromrechnung!$X$3)^Konstanten!$F$18)&lt;1,CB18,CB18*Konstanten!$A$18*(Massenstromrechnung!$Y$6^Konstanten!$B$18*(Massenstromrechnung!$X$4-(Iteration!BZ18+Massenstromrechnung!$X$3)/2)^Konstanten!$C$18*CB18^Konstanten!$D$18*((Massenstromrechnung!$X$3+Iteration!BZ18)/2)^Konstanten!$E$18+(Iteration!BZ18-Massenstromrechnung!$X$3)^Konstanten!$F$18)))</f>
        <v>2762.846767805042</v>
      </c>
      <c r="CD18" s="101">
        <f>CC18/(Massenstromrechnung!$AA28*Konstanten!$K$3/3.6)+Massenstromrechnung!$X$3</f>
        <v>12.307625650992673</v>
      </c>
      <c r="CE18" s="103" t="str">
        <f>IF(OR(Massenstromrechnung!$Y$6&lt;(CD18*50+Massenstromrechnung!$X$3)/51,(Massenstromrechnung!$Y$6-(CD18*51+Massenstromrechnung!$X$3)/51)&lt;0.7),"trocken","feucht")</f>
        <v>feucht</v>
      </c>
      <c r="CF18" s="104">
        <f>(Massenstromrechnung!$X$4-(Massenstromrechnung!$X$3+CD18)/2)^Konstanten!$E$7*$AK18*$AL18^Konstanten!$F$7*(CD18-Massenstromrechnung!$X$3)^Konstanten!$G$7*((Massenstromrechnung!$X$3+CD18)/2)^Konstanten!$H$7*(Konstanten!$C$7-(CD18-Massenstromrechnung!$X$3)^Konstanten!$I$7*Konstanten!$D$7)</f>
        <v>1922.7785803009601</v>
      </c>
      <c r="CG18" s="104">
        <f>IF(CE18="trocken",CF18,IF(Konstanten!$A$18*(Massenstromrechnung!$Y$6^Konstanten!$B$18*(Massenstromrechnung!$X$4-(Iteration!CD18+Massenstromrechnung!$X$3)/2)^Konstanten!$C$18*CF18^Konstanten!$D$18*((Massenstromrechnung!$X$3+Iteration!CD18)/2)^Konstanten!$E$18+(Iteration!CD18-Massenstromrechnung!$X$3)^Konstanten!$F$18)&lt;1,CF18,CF18*Konstanten!$A$18*(Massenstromrechnung!$Y$6^Konstanten!$B$18*(Massenstromrechnung!$X$4-(Iteration!CD18+Massenstromrechnung!$X$3)/2)^Konstanten!$C$18*CF18^Konstanten!$D$18*((Massenstromrechnung!$X$3+Iteration!CD18)/2)^Konstanten!$E$18+(Iteration!CD18-Massenstromrechnung!$X$3)^Konstanten!$F$18)))</f>
        <v>2537.2799977249583</v>
      </c>
      <c r="CH18" s="101">
        <f>CG18/(Massenstromrechnung!$AA28*Konstanten!$K$3/3.6)+Massenstromrechnung!$X$3</f>
        <v>11.874295801201633</v>
      </c>
      <c r="CI18" s="103" t="str">
        <f>IF(OR(Massenstromrechnung!$Y$6&lt;(CH18*50+Massenstromrechnung!$X$3)/51,(Massenstromrechnung!$Y$6-(CH18*51+Massenstromrechnung!$X$3)/51)&lt;0.7),"trocken","feucht")</f>
        <v>feucht</v>
      </c>
      <c r="CJ18" s="104">
        <f>(Massenstromrechnung!$X$4-(Massenstromrechnung!$X$3+CH18)/2)^Konstanten!$E$7*$AK18*$AL18^Konstanten!$F$7*(CH18-Massenstromrechnung!$X$3)^Konstanten!$G$7*((Massenstromrechnung!$X$3+CH18)/2)^Konstanten!$H$7*(Konstanten!$C$7-(CH18-Massenstromrechnung!$X$3)^Konstanten!$I$7*Konstanten!$D$7)</f>
        <v>1973.4119660141555</v>
      </c>
      <c r="CK18" s="104">
        <f>IF(CI18="trocken",CJ18,IF(Konstanten!$A$18*(Massenstromrechnung!$Y$6^Konstanten!$B$18*(Massenstromrechnung!$X$4-(Iteration!CH18+Massenstromrechnung!$X$3)/2)^Konstanten!$C$18*CJ18^Konstanten!$D$18*((Massenstromrechnung!$X$3+Iteration!CH18)/2)^Konstanten!$E$18+(Iteration!CH18-Massenstromrechnung!$X$3)^Konstanten!$F$18)&lt;1,CJ18,CJ18*Konstanten!$A$18*(Massenstromrechnung!$Y$6^Konstanten!$B$18*(Massenstromrechnung!$X$4-(Iteration!CH18+Massenstromrechnung!$X$3)/2)^Konstanten!$C$18*CJ18^Konstanten!$D$18*((Massenstromrechnung!$X$3+Iteration!CH18)/2)^Konstanten!$E$18+(Iteration!CH18-Massenstromrechnung!$X$3)^Konstanten!$F$18)))</f>
        <v>2630.5464259692676</v>
      </c>
      <c r="CL18" s="101">
        <f>CK18/(Massenstromrechnung!$AA28*Konstanten!$K$3/3.6)+Massenstromrechnung!$X$3</f>
        <v>12.053467260398858</v>
      </c>
      <c r="CM18" s="103" t="str">
        <f>IF(OR(Massenstromrechnung!$Y$6&lt;(CL18*50+Massenstromrechnung!$X$3)/51,(Massenstromrechnung!$Y$6-(CL18*51+Massenstromrechnung!$X$3)/51)&lt;0.7),"trocken","feucht")</f>
        <v>feucht</v>
      </c>
      <c r="CN18" s="104">
        <f>(Massenstromrechnung!$X$4-(Massenstromrechnung!$X$3+CL18)/2)^Konstanten!$E$7*$AK18*$AL18^Konstanten!$F$7*(CL18-Massenstromrechnung!$X$3)^Konstanten!$G$7*((Massenstromrechnung!$X$3+CL18)/2)^Konstanten!$H$7*(Konstanten!$C$7-(CL18-Massenstromrechnung!$X$3)^Konstanten!$I$7*Konstanten!$D$7)</f>
        <v>1952.0747502129252</v>
      </c>
      <c r="CO18" s="104">
        <f>IF(CM18="trocken",CN18,IF(Konstanten!$A$18*(Massenstromrechnung!$Y$6^Konstanten!$B$18*(Massenstromrechnung!$X$4-(Iteration!CL18+Massenstromrechnung!$X$3)/2)^Konstanten!$C$18*CN18^Konstanten!$D$18*((Massenstromrechnung!$X$3+Iteration!CL18)/2)^Konstanten!$E$18+(Iteration!CL18-Massenstromrechnung!$X$3)^Konstanten!$F$18)&lt;1,CN18,CN18*Konstanten!$A$18*(Massenstromrechnung!$Y$6^Konstanten!$B$18*(Massenstromrechnung!$X$4-(Iteration!CL18+Massenstromrechnung!$X$3)/2)^Konstanten!$C$18*CN18^Konstanten!$D$18*((Massenstromrechnung!$X$3+Iteration!CL18)/2)^Konstanten!$E$18+(Iteration!CL18-Massenstromrechnung!$X$3)^Konstanten!$F$18)))</f>
        <v>2591.0750789493445</v>
      </c>
      <c r="CP18" s="101">
        <f>IF(CO18/(Massenstromrechnung!$AA28*Konstanten!$K$3/3.6)+Massenstromrechnung!$X$3-Massenstromrechnung!$X$3&lt;1.4,"RLT zu niedrig",CO18/(Massenstromrechnung!$AA28*Konstanten!$K$3/3.6)+Massenstromrechnung!$X$3)</f>
        <v>11.977639988194175</v>
      </c>
      <c r="CQ18" s="103" t="str">
        <f>IF(CP18="RLT zu niedrig","RLT zu niedrig",IF(OR(Massenstromrechnung!$Y$6&lt;(CP18*50+Massenstromrechnung!$X$3)/51,(Massenstromrechnung!$Y$6-(CP18*51+Massenstromrechnung!$X$3)/51)&lt;0.7),"trocken","feucht"))</f>
        <v>feucht</v>
      </c>
      <c r="CR18" s="104">
        <f>IF(CP18="RLT zu niedrig","RLT zu niedrig",(Massenstromrechnung!$X$4-(Massenstromrechnung!$X$3+CP18)/2)^Konstanten!$E$7*$AK18*$AL18^Konstanten!$F$7*(CP18-Massenstromrechnung!$X$3)^Konstanten!$G$7*((Massenstromrechnung!$X$3+CP18)/2)^Konstanten!$H$7*(Konstanten!$C$7-(CP18-Massenstromrechnung!$X$3)^Konstanten!$I$7*Konstanten!$D$7))</f>
        <v>1961.0326292306549</v>
      </c>
      <c r="CS18" s="104">
        <f>IF(CP18="RLT zu niedrig","RLT zu niedrig",IF(CQ18="trocken",CR18,IF(Konstanten!$A$18*(Massenstromrechnung!$Y$6^Konstanten!$B$18*(Massenstromrechnung!$X$4-(Iteration!CP18+Massenstromrechnung!$X$3)/2)^Konstanten!$C$18*CR18^Konstanten!$D$18*((Massenstromrechnung!$X$3+Iteration!CP18)/2)^Konstanten!$E$18+(Iteration!CP18-Massenstromrechnung!$X$3)^Konstanten!$F$18)&lt;1,CR18,CR18*Konstanten!$A$18*(Massenstromrechnung!$Y$6^Konstanten!$B$18*(Massenstromrechnung!$X$4-(Iteration!CP18+Massenstromrechnung!$X$3)/2)^Konstanten!$C$18*CR18^Konstanten!$D$18*((Massenstromrechnung!$X$3+Iteration!CP18)/2)^Konstanten!$E$18+(Iteration!CP18-Massenstromrechnung!$X$3)^Konstanten!$F$18))))</f>
        <v>2607.6166927712343</v>
      </c>
    </row>
    <row r="19" spans="1:97" x14ac:dyDescent="0.3">
      <c r="A19">
        <f>Massenstromrechnung!B29</f>
        <v>1480</v>
      </c>
      <c r="B19" s="27">
        <v>735</v>
      </c>
      <c r="C19" s="103">
        <f>IF(Massenstromrechnung!$K$3-10&lt;=Massenstromrechnung!$K$4,Massenstromrechnung!$K$3-0.75*(Massenstromrechnung!$K$3-Massenstromrechnung!$K$4),Massenstromrechnung!$K$3-10)</f>
        <v>65</v>
      </c>
      <c r="D19" s="103">
        <f>-1*((Massenstromrechnung!$K$3+C19)/2-Massenstromrechnung!$K$4)^Konstanten!$E$4*Massenstromrechnung!$B29*Massenstromrechnung!$C29^Konstanten!$F$4*(Massenstromrechnung!$K$3-C19)^Konstanten!$G$4*((Massenstromrechnung!$K$3+C19)/2)^Konstanten!$H$4*(Konstanten!$C$4-((Massenstromrechnung!$K$3-C19)^Konstanten!$I$4*Konstanten!$D$4))/(Massenstromrechnung!$F29*Konstanten!$K$3/3.6)+Massenstromrechnung!$K$3</f>
        <v>65</v>
      </c>
      <c r="E19" s="103">
        <f t="shared" si="6"/>
        <v>65</v>
      </c>
      <c r="F19" s="103">
        <f>-1*((Massenstromrechnung!$K$3+E19)/2-Massenstromrechnung!$K$4)^Konstanten!$E$4*Massenstromrechnung!$B29*Massenstromrechnung!$C29^Konstanten!$F$4*(Massenstromrechnung!$K$3-E19)^Konstanten!$G$4*((Massenstromrechnung!$K$3+E19)/2)^Konstanten!$H$4*(Konstanten!$C$4-((Massenstromrechnung!$K$3-E19)^Konstanten!$I$4*Konstanten!$D$4))/(Massenstromrechnung!$F29*Konstanten!$K$3/3.6)+Massenstromrechnung!$K$3</f>
        <v>65</v>
      </c>
      <c r="G19" s="103">
        <f t="shared" si="0"/>
        <v>65</v>
      </c>
      <c r="H19" s="103">
        <f>-1*((Massenstromrechnung!$K$3+G19)/2-Massenstromrechnung!$K$4)^Konstanten!$E$4*Massenstromrechnung!$B29*Massenstromrechnung!$C29^Konstanten!$F$4*(Massenstromrechnung!$K$3-G19)^Konstanten!$G$4*((Massenstromrechnung!$K$3+G19)/2)^Konstanten!$H$4*(Konstanten!$C$4-((Massenstromrechnung!$K$3-G19)^Konstanten!$I$4*Konstanten!$D$4))/(Massenstromrechnung!$F29*Konstanten!$K$3/3.6)+Massenstromrechnung!$K$3</f>
        <v>65</v>
      </c>
      <c r="I19" s="103">
        <f t="shared" si="1"/>
        <v>65</v>
      </c>
      <c r="J19" s="103">
        <f>-1*((Massenstromrechnung!$K$3+I19)/2-Massenstromrechnung!$K$4)^Konstanten!$E$4*Massenstromrechnung!$B29*Massenstromrechnung!$C29^Konstanten!$F$4*(Massenstromrechnung!$K$3-I19)^Konstanten!$G$4*((Massenstromrechnung!$K$3+I19)/2)^Konstanten!$H$4*(Konstanten!$C$4-((Massenstromrechnung!$K$3-I19)^Konstanten!$I$4*Konstanten!$D$4))/(Massenstromrechnung!$F29*Konstanten!$K$3/3.6)+Massenstromrechnung!$K$3</f>
        <v>65</v>
      </c>
      <c r="K19" s="103">
        <f t="shared" si="2"/>
        <v>65</v>
      </c>
      <c r="L19" s="103">
        <f>-1*((Massenstromrechnung!$K$3+K19)/2-Massenstromrechnung!$K$4)^Konstanten!$E$4*Massenstromrechnung!$B29*Massenstromrechnung!$C29^Konstanten!$F$4*(Massenstromrechnung!$K$3-K19)^Konstanten!$G$4*((Massenstromrechnung!$K$3+K19)/2)^Konstanten!$H$4*(Konstanten!$C$4-((Massenstromrechnung!$K$3-K19)^Konstanten!$I$4*Konstanten!$D$4))/(Massenstromrechnung!$F29*Konstanten!$K$3/3.6)+Massenstromrechnung!$K$3</f>
        <v>65</v>
      </c>
      <c r="N19">
        <f>'Katalogdaten M3G045'!B33</f>
        <v>1480</v>
      </c>
      <c r="O19" s="27">
        <v>735</v>
      </c>
      <c r="P19" s="103">
        <f>IF(Massenstromrechnung!$K$3-10&lt;=Massenstromrechnung!$K$4,Massenstromrechnung!$K$3-0.75*(Massenstromrechnung!$K$3-Massenstromrechnung!$K$4),Massenstromrechnung!$K$3-10)</f>
        <v>65</v>
      </c>
      <c r="Q19" s="103" t="e">
        <f>-1*((Massenstromrechnung!$K$3+P19)/2-Massenstromrechnung!$K$4)^Konstanten!$E$4*Massenstromrechnung!$B29*Massenstromrechnung!$C29^Konstanten!$F$4*(Massenstromrechnung!$K$3-P19)^Konstanten!$G$4*((Massenstromrechnung!$K$3+P19)/2)^Konstanten!$H$4*(Konstanten!$C$4-((Massenstromrechnung!$K$3-P19)^Konstanten!$I$4*Konstanten!$D$4))/(Massenstromrechnung!#REF!*Konstanten!$K$3/3.6)+Massenstromrechnung!$K$3</f>
        <v>#REF!</v>
      </c>
      <c r="R19" s="103" t="e">
        <f t="shared" si="7"/>
        <v>#REF!</v>
      </c>
      <c r="S19" s="103" t="e">
        <f>-1*((Massenstromrechnung!$K$3+R19)/2-Massenstromrechnung!$K$4)^Konstanten!$E$4*Massenstromrechnung!$B29*Massenstromrechnung!$C29^Konstanten!$F$4*(Massenstromrechnung!$K$3-R19)^Konstanten!$G$4*((Massenstromrechnung!$K$3+R19)/2)^Konstanten!$H$4*(Konstanten!$C$4-((Massenstromrechnung!$K$3-R19)^Konstanten!$I$4*Konstanten!$D$4))/(Massenstromrechnung!#REF!*Konstanten!$K$3/3.6)+Massenstromrechnung!$K$3</f>
        <v>#REF!</v>
      </c>
      <c r="T19" s="103" t="e">
        <f t="shared" si="3"/>
        <v>#REF!</v>
      </c>
      <c r="U19" s="103" t="e">
        <f>-1*((Massenstromrechnung!$K$3+T19)/2-Massenstromrechnung!$K$4)^Konstanten!$E$4*Massenstromrechnung!$B29*Massenstromrechnung!$C29^Konstanten!$F$4*(Massenstromrechnung!$K$3-T19)^Konstanten!$G$4*((Massenstromrechnung!$K$3+T19)/2)^Konstanten!$H$4*(Konstanten!$C$4-((Massenstromrechnung!$K$3-T19)^Konstanten!$I$4*Konstanten!$D$4))/(Massenstromrechnung!#REF!*Konstanten!$K$3/3.6)+Massenstromrechnung!$K$3</f>
        <v>#REF!</v>
      </c>
      <c r="V19" s="103" t="e">
        <f t="shared" si="4"/>
        <v>#REF!</v>
      </c>
      <c r="W19" s="103" t="e">
        <f>-1*((Massenstromrechnung!$K$3+V19)/2-Massenstromrechnung!$K$4)^Konstanten!$E$4*Massenstromrechnung!$B29*Massenstromrechnung!$C29^Konstanten!$F$4*(Massenstromrechnung!$K$3-V19)^Konstanten!$G$4*((Massenstromrechnung!$K$3+V19)/2)^Konstanten!$H$4*(Konstanten!$C$4-((Massenstromrechnung!$K$3-V19)^Konstanten!$I$4*Konstanten!$D$4))/(Massenstromrechnung!#REF!*Konstanten!$K$3/3.6)+Massenstromrechnung!$K$3</f>
        <v>#REF!</v>
      </c>
      <c r="X19" s="103" t="e">
        <f t="shared" si="5"/>
        <v>#REF!</v>
      </c>
      <c r="Y19" s="103" t="e">
        <f>-1*((Massenstromrechnung!$K$3+X19)/2-Massenstromrechnung!$K$4)^Konstanten!$E$4*Massenstromrechnung!$B29*Massenstromrechnung!$C29^Konstanten!$F$4*(Massenstromrechnung!$K$3-X19)^Konstanten!$G$4*((Massenstromrechnung!$K$3+X19)/2)^Konstanten!$H$4*(Konstanten!$C$4-((Massenstromrechnung!$K$3-X19)^Konstanten!$I$4*Konstanten!$D$4))/(Massenstromrechnung!#REF!*Konstanten!$K$3/3.6)+Massenstromrechnung!$K$3</f>
        <v>#REF!</v>
      </c>
      <c r="AA19">
        <f t="shared" si="8"/>
        <v>1480</v>
      </c>
      <c r="AB19">
        <f t="shared" si="8"/>
        <v>735</v>
      </c>
      <c r="AC19" s="103">
        <f>IF(Massenstromrechnung!$K$3-10&lt;=Massenstromrechnung!$K$4,Massenstromrechnung!$K$3-0.75*(Massenstromrechnung!$K$3-Massenstromrechnung!$K$4),Massenstromrechnung!$K$3-10)</f>
        <v>65</v>
      </c>
      <c r="AD19" s="103">
        <f>-1*((Massenstromrechnung!$K$3+AC19)/2-Massenstromrechnung!$K$4)^Konstanten!$E$5*$AA19*$AB19^Konstanten!$F$5*(Massenstromrechnung!$K$3-AC19)^Konstanten!$G$5*((Massenstromrechnung!$K$3+AC19)/2)^Konstanten!$H$5*(Konstanten!$C$5-((Massenstromrechnung!$K$3-AC19)^Konstanten!$I$5*Konstanten!$D$5))/(Massenstromrechnung!$L29*Konstanten!$K$3/3.6)+Massenstromrechnung!$K$3</f>
        <v>65</v>
      </c>
      <c r="AE19" s="103">
        <f>-1*((Massenstromrechnung!$K$3+AD19)/2-Massenstromrechnung!$K$4)^Konstanten!$E$5*$AA19*$AB19^Konstanten!$F$5*(Massenstromrechnung!$K$3-AD19)^Konstanten!$G$5*((Massenstromrechnung!$K$3+AD19)/2)^Konstanten!$H$5*(Konstanten!$C$5-((Massenstromrechnung!$K$3-AD19)^Konstanten!$I$5*Konstanten!$D$5))/(Massenstromrechnung!$L29*Konstanten!$K$3/3.6)+Massenstromrechnung!$K$3</f>
        <v>65</v>
      </c>
      <c r="AF19" s="103">
        <f>-1*((Massenstromrechnung!$K$3+AE19)/2-Massenstromrechnung!$K$4)^Konstanten!$E$5*$AA19*$AB19^Konstanten!$F$5*(Massenstromrechnung!$K$3-AE19)^Konstanten!$G$5*((Massenstromrechnung!$K$3+AE19)/2)^Konstanten!$H$5*(Konstanten!$C$5-((Massenstromrechnung!$K$3-AE19)^Konstanten!$I$5*Konstanten!$D$5))/(Massenstromrechnung!$L29*Konstanten!$K$3/3.6)+Massenstromrechnung!$K$3</f>
        <v>65</v>
      </c>
      <c r="AG19" s="103">
        <f>-1*((Massenstromrechnung!$K$3+AF19)/2-Massenstromrechnung!$K$4)^Konstanten!$E$5*$AA19*$AB19^Konstanten!$F$5*(Massenstromrechnung!$K$3-AF19)^Konstanten!$G$5*((Massenstromrechnung!$K$3+AF19)/2)^Konstanten!$H$5*(Konstanten!$C$5-((Massenstromrechnung!$K$3-AF19)^Konstanten!$I$5*Konstanten!$D$5))/(Massenstromrechnung!$L29*Konstanten!$K$3/3.6)+Massenstromrechnung!$K$3</f>
        <v>65</v>
      </c>
      <c r="AH19" s="103">
        <f>-1*((Massenstromrechnung!$K$3+AG19)/2-Massenstromrechnung!$K$4)^Konstanten!$E$5*$AA19*$AB19^Konstanten!$F$5*(Massenstromrechnung!$K$3-AG19)^Konstanten!$G$5*((Massenstromrechnung!$K$3+AG19)/2)^Konstanten!$H$5*(Konstanten!$C$5-((Massenstromrechnung!$K$3-AG19)^Konstanten!$I$5*Konstanten!$D$5))/(Massenstromrechnung!$L29*Konstanten!$K$3/3.6)+Massenstromrechnung!$K$3</f>
        <v>65</v>
      </c>
      <c r="AI19" s="103">
        <f>-1*((Massenstromrechnung!$K$3+AH19)/2-Massenstromrechnung!$K$4)^Konstanten!$E$5*$AA19*$AB19^Konstanten!$F$5*(Massenstromrechnung!$K$3-AH19)^Konstanten!$G$5*((Massenstromrechnung!$K$3+AH19)/2)^Konstanten!$H$5*(Konstanten!$C$5-((Massenstromrechnung!$K$3-AH19)^Konstanten!$I$5*Konstanten!$D$5))/(Massenstromrechnung!$L29*Konstanten!$K$3/3.6)+Massenstromrechnung!$K$3</f>
        <v>65</v>
      </c>
      <c r="AK19">
        <f t="shared" si="9"/>
        <v>1480</v>
      </c>
      <c r="AL19">
        <f t="shared" si="9"/>
        <v>735</v>
      </c>
      <c r="AM19" s="103">
        <f>Massenstromrechnung!$X$3+2</f>
        <v>9</v>
      </c>
      <c r="AN19" s="103" t="str">
        <f>IF(OR(Massenstromrechnung!$Y$6&lt;(AM19*50+Massenstromrechnung!$X$3)/51,(Massenstromrechnung!$Y$6-(AM19*51+Massenstromrechnung!$X$3)/51)&lt;0.7),"trocken","feucht")</f>
        <v>feucht</v>
      </c>
      <c r="AO19" s="104">
        <f>(Massenstromrechnung!$X$4-(Massenstromrechnung!$X$3+AM19)/2)^Konstanten!$E$6*$AK19*$AL19^Konstanten!$F$6*(AM19-Massenstromrechnung!$X$3)^Konstanten!$G$6*((Massenstromrechnung!$X$3+AM19)/2)^Konstanten!$H$6*(Konstanten!$C$6-(AM19-Massenstromrechnung!$X$3)^Konstanten!$I$6*Konstanten!$D$6)</f>
        <v>1479.2695677522206</v>
      </c>
      <c r="AP19" s="104">
        <f>IF(AN19="trocken",AO19,IF(Konstanten!$A$18*(Massenstromrechnung!$Y$6^Konstanten!$B$18*(Massenstromrechnung!$X$4-(Iteration!AM19+Massenstromrechnung!$X$3)/2)^Konstanten!$C$18*AO19^Konstanten!$D$18*((Massenstromrechnung!$X$3+Iteration!AM19)/2)^Konstanten!$E$18+(Iteration!AM19-Massenstromrechnung!$X$3)^Konstanten!$F$18)&lt;1,AO19,AO19*Konstanten!$A$18*(Massenstromrechnung!$Y$6^Konstanten!$B$18*(Massenstromrechnung!$X$4-(Iteration!AM19+Massenstromrechnung!$X$3)/2)^Konstanten!$C$18*AO19^Konstanten!$D$18*((Massenstromrechnung!$X$3+Iteration!AM19)/2)^Konstanten!$E$18+(Iteration!AM19-Massenstromrechnung!$X$3)^Konstanten!$F$18)))</f>
        <v>2189.5913635892871</v>
      </c>
      <c r="AQ19" s="101">
        <f>AP19/(Massenstromrechnung!$R29*Konstanten!$K$3/3.6)+Massenstromrechnung!$X$3</f>
        <v>13.212920280088722</v>
      </c>
      <c r="AR19" s="103" t="str">
        <f>IF(OR(Massenstromrechnung!$Y$6&lt;(AQ19*50+Massenstromrechnung!$X$3)/51,(Massenstromrechnung!$Y$6-(AQ19*51+Massenstromrechnung!$X$3)/51)&lt;0.7),"trocken","feucht")</f>
        <v>feucht</v>
      </c>
      <c r="AS19" s="104">
        <f>(Massenstromrechnung!$X$4-(Massenstromrechnung!$X$3+AQ19)/2)^Konstanten!$E$6*$AK19*$AL19^Konstanten!$F$6*(AQ19-Massenstromrechnung!$X$3)^Konstanten!$G$6*((Massenstromrechnung!$X$3+AQ19)/2)^Konstanten!$H$6*(Konstanten!$C$6-(AQ19-Massenstromrechnung!$X$3)^Konstanten!$I$6*Konstanten!$D$6)</f>
        <v>1236.1925452072273</v>
      </c>
      <c r="AT19" s="104">
        <f>IF(AR19="trocken",AS19,IF(Konstanten!$A$18*(Massenstromrechnung!$Y$6^Konstanten!$B$18*(Massenstromrechnung!$X$4-(Iteration!AQ19+Massenstromrechnung!$X$3)/2)^Konstanten!$C$18*AS19^Konstanten!$D$18*((Massenstromrechnung!$X$3+Iteration!AQ19)/2)^Konstanten!$E$18+(Iteration!AQ19-Massenstromrechnung!$X$3)^Konstanten!$F$18)&lt;1,AS19,AS19*Konstanten!$A$18*(Massenstromrechnung!$Y$6^Konstanten!$B$18*(Massenstromrechnung!$X$4-(Iteration!AQ19+Massenstromrechnung!$X$3)/2)^Konstanten!$C$18*AS19^Konstanten!$D$18*((Massenstromrechnung!$X$3+Iteration!AQ19)/2)^Konstanten!$E$18+(Iteration!AQ19-Massenstromrechnung!$X$3)^Konstanten!$F$18)))</f>
        <v>1618.6224123111288</v>
      </c>
      <c r="AU19" s="101">
        <f>AT19/(Massenstromrechnung!$R29*Konstanten!$K$3/3.6)+Massenstromrechnung!$X$3</f>
        <v>11.592807671093951</v>
      </c>
      <c r="AV19" s="103" t="str">
        <f>IF(OR(Massenstromrechnung!$Y$6&lt;(AU19*50+Massenstromrechnung!$X$3)/51,(Massenstromrechnung!$Y$6-(AU19*51+Massenstromrechnung!$X$3)/51)&lt;0.7),"trocken","feucht")</f>
        <v>feucht</v>
      </c>
      <c r="AW19" s="104">
        <f>(Massenstromrechnung!$X$4-(Massenstromrechnung!$X$3+AU19)/2)^Konstanten!$E$6*$AK19*$AL19^Konstanten!$F$6*(AU19-Massenstromrechnung!$X$3)^Konstanten!$G$6*((Massenstromrechnung!$X$3+AU19)/2)^Konstanten!$H$6*(Konstanten!$C$6-(AU19-Massenstromrechnung!$X$3)^Konstanten!$I$6*Konstanten!$D$6)</f>
        <v>1334.41659479856</v>
      </c>
      <c r="AX19" s="104">
        <f>IF(AV19="trocken",AW19,IF(Konstanten!$A$18*(Massenstromrechnung!$Y$6^Konstanten!$B$18*(Massenstromrechnung!$X$4-(Iteration!AU19+Massenstromrechnung!$X$3)/2)^Konstanten!$C$18*AW19^Konstanten!$D$18*((Massenstromrechnung!$X$3+Iteration!AU19)/2)^Konstanten!$E$18+(Iteration!AU19-Massenstromrechnung!$X$3)^Konstanten!$F$18)&lt;1,AW19,AW19*Konstanten!$A$18*(Massenstromrechnung!$Y$6^Konstanten!$B$18*(Massenstromrechnung!$X$4-(Iteration!AU19+Massenstromrechnung!$X$3)/2)^Konstanten!$C$18*AW19^Konstanten!$D$18*((Massenstromrechnung!$X$3+Iteration!AU19)/2)^Konstanten!$E$18+(Iteration!AU19-Massenstromrechnung!$X$3)^Konstanten!$F$18)))</f>
        <v>1812.9302426670076</v>
      </c>
      <c r="AY19" s="101">
        <f>AX19/(Massenstromrechnung!$R29*Konstanten!$K$3/3.6)+Massenstromrechnung!$X$3</f>
        <v>12.144152127357764</v>
      </c>
      <c r="AZ19" s="103" t="str">
        <f>IF(OR(Massenstromrechnung!$Y$6&lt;(AY19*50+Massenstromrechnung!$X$3)/51,(Massenstromrechnung!$Y$6-(AY19*51+Massenstromrechnung!$X$3)/51)&lt;0.7),"trocken","feucht")</f>
        <v>feucht</v>
      </c>
      <c r="BA19" s="104">
        <f>(Massenstromrechnung!$X$4-(Massenstromrechnung!$X$3+AY19)/2)^Konstanten!$E$6*$AK19*$AL19^Konstanten!$F$6*(AY19-Massenstromrechnung!$X$3)^Konstanten!$G$6*((Massenstromrechnung!$X$3+AY19)/2)^Konstanten!$H$6*(Konstanten!$C$6-(AY19-Massenstromrechnung!$X$3)^Konstanten!$I$6*Konstanten!$D$6)</f>
        <v>1300.0342166132298</v>
      </c>
      <c r="BB19" s="104">
        <f>IF(AZ19="trocken",BA19,IF(Konstanten!$A$18*(Massenstromrechnung!$Y$6^Konstanten!$B$18*(Massenstromrechnung!$X$4-(Iteration!AY19+Massenstromrechnung!$X$3)/2)^Konstanten!$C$18*BA19^Konstanten!$D$18*((Massenstromrechnung!$X$3+Iteration!AY19)/2)^Konstanten!$E$18+(Iteration!AY19-Massenstromrechnung!$X$3)^Konstanten!$F$18)&lt;1,BA19,BA19*Konstanten!$A$18*(Massenstromrechnung!$Y$6^Konstanten!$B$18*(Massenstromrechnung!$X$4-(Iteration!AY19+Massenstromrechnung!$X$3)/2)^Konstanten!$C$18*BA19^Konstanten!$D$18*((Massenstromrechnung!$X$3+Iteration!AY19)/2)^Konstanten!$E$18+(Iteration!AY19-Massenstromrechnung!$X$3)^Konstanten!$F$18)))</f>
        <v>1742.6412668602677</v>
      </c>
      <c r="BC19" s="101">
        <f>BB19/(Massenstromrechnung!$R29*Konstanten!$K$3/3.6)+Massenstromrechnung!$X$3</f>
        <v>11.944708609942488</v>
      </c>
      <c r="BD19" s="103" t="str">
        <f>IF(OR(Massenstromrechnung!$Y$6&lt;(BC19*50+Massenstromrechnung!$X$3)/51,(Massenstromrechnung!$Y$6-(BC19*51+Massenstromrechnung!$X$3)/51)&lt;0.7),"trocken","feucht")</f>
        <v>feucht</v>
      </c>
      <c r="BE19" s="104">
        <f>(Massenstromrechnung!$X$4-(Massenstromrechnung!$X$3+BC19)/2)^Konstanten!$E$6*$AK19*$AL19^Konstanten!$F$6*(BC19-Massenstromrechnung!$X$3)^Konstanten!$G$6*((Massenstromrechnung!$X$3+BC19)/2)^Konstanten!$H$6*(Konstanten!$C$6-(BC19-Massenstromrechnung!$X$3)^Konstanten!$I$6*Konstanten!$D$6)</f>
        <v>1312.3701552433761</v>
      </c>
      <c r="BF19" s="104">
        <f>IF(BD19="trocken",BE19,IF(Konstanten!$A$18*(Massenstromrechnung!$Y$6^Konstanten!$B$18*(Massenstromrechnung!$X$4-(Iteration!BC19+Massenstromrechnung!$X$3)/2)^Konstanten!$C$18*BE19^Konstanten!$D$18*((Massenstromrechnung!$X$3+Iteration!BC19)/2)^Konstanten!$E$18+(Iteration!BC19-Massenstromrechnung!$X$3)^Konstanten!$F$18)&lt;1,BE19,BE19*Konstanten!$A$18*(Massenstromrechnung!$Y$6^Konstanten!$B$18*(Massenstromrechnung!$X$4-(Iteration!BC19+Massenstromrechnung!$X$3)/2)^Konstanten!$C$18*BE19^Konstanten!$D$18*((Massenstromrechnung!$X$3+Iteration!BC19)/2)^Konstanten!$E$18+(Iteration!BC19-Massenstromrechnung!$X$3)^Konstanten!$F$18)))</f>
        <v>1767.5426331253404</v>
      </c>
      <c r="BG19" s="101">
        <f>BF19/(Massenstromrechnung!$R29*Konstanten!$K$3/3.6)+Massenstromrechnung!$X$3</f>
        <v>12.015365722517402</v>
      </c>
      <c r="BH19" s="103" t="str">
        <f>IF(OR(Massenstromrechnung!$Y$6&lt;(BG19*50+Massenstromrechnung!$X$3)/51,(Massenstromrechnung!$Y$6-(BG19*51+Massenstromrechnung!$X$3)/51)&lt;0.7),"trocken","feucht")</f>
        <v>feucht</v>
      </c>
      <c r="BI19" s="104">
        <f>(Massenstromrechnung!$X$4-(Massenstromrechnung!$X$3+BG19)/2)^Konstanten!$E$6*$AK19*$AL19^Konstanten!$F$6*(BG19-Massenstromrechnung!$X$3)^Konstanten!$G$6*((Massenstromrechnung!$X$3+BG19)/2)^Konstanten!$H$6*(Konstanten!$C$6-(BG19-Massenstromrechnung!$X$3)^Konstanten!$I$6*Konstanten!$D$6)</f>
        <v>1307.985851500817</v>
      </c>
      <c r="BJ19" s="104">
        <f>IF(BH19="trocken",BI19,IF(Konstanten!$A$18*(Massenstromrechnung!$Y$6^Konstanten!$B$18*(Massenstromrechnung!$X$4-(Iteration!BG19+Massenstromrechnung!$X$3)/2)^Konstanten!$C$18*BI19^Konstanten!$D$18*((Massenstromrechnung!$X$3+Iteration!BG19)/2)^Konstanten!$E$18+(Iteration!BG19-Massenstromrechnung!$X$3)^Konstanten!$F$18)&lt;1,BI19,BI19*Konstanten!$A$18*(Massenstromrechnung!$Y$6^Konstanten!$B$18*(Massenstromrechnung!$X$4-(Iteration!BG19+Massenstromrechnung!$X$3)/2)^Konstanten!$C$18*BI19^Konstanten!$D$18*((Massenstromrechnung!$X$3+Iteration!BG19)/2)^Konstanten!$E$18+(Iteration!BG19-Massenstromrechnung!$X$3)^Konstanten!$F$18)))</f>
        <v>1758.6538251729221</v>
      </c>
      <c r="BK19" s="101">
        <f>IF(BJ19/(Massenstromrechnung!$R29*Konstanten!$K$3/3.6)+Massenstromrechnung!$X$3-Massenstromrechnung!$X$3&lt;1.4,"RLT zu niedrig",BJ19/(Massenstromrechnung!$R29*Konstanten!$K$3/3.6)+Massenstromrechnung!$X$3)</f>
        <v>11.990143913502379</v>
      </c>
      <c r="BL19" s="103" t="str">
        <f>IF(BK19="RLT zu niedrig","RLT zu niedrig",IF(OR(Massenstromrechnung!$Y$6&lt;(BK19*50+Massenstromrechnung!$X$3)/51,(Massenstromrechnung!$Y$6-(BK19*51+Massenstromrechnung!$X$3)/51)&lt;0.7),"trocken","feucht"))</f>
        <v>feucht</v>
      </c>
      <c r="BM19" s="104">
        <f>IF(BK19="RLT zu niedrig","RLT zu niedrig",(Massenstromrechnung!$X$4-(Massenstromrechnung!$X$3+BK19)/2)^Konstanten!$E$6*$AK19*$AL19^Konstanten!$F$6*(BK19-Massenstromrechnung!$X$3)^Konstanten!$G$6*((Massenstromrechnung!$X$3+BK19)/2)^Konstanten!$H$6*(Konstanten!$C$6-(BK19-Massenstromrechnung!$X$3)^Konstanten!$I$6*Konstanten!$D$6))</f>
        <v>1309.5491409193953</v>
      </c>
      <c r="BN19" s="104">
        <f>IF(BK19="RLT zu niedrig","RLT zu niedrig",IF(BL19="trocken",BM19,IF(Konstanten!$A$18*(Massenstromrechnung!$Y$6^Konstanten!$B$18*(Massenstromrechnung!$X$4-(Iteration!BK19+Massenstromrechnung!$X$3)/2)^Konstanten!$C$18*BM19^Konstanten!$D$18*((Massenstromrechnung!$X$3+Iteration!BK19)/2)^Konstanten!$E$18+(Iteration!BK19-Massenstromrechnung!$X$3)^Konstanten!$F$18)&lt;1,BM19,BM19*Konstanten!$A$18*(Massenstromrechnung!$Y$6^Konstanten!$B$18*(Massenstromrechnung!$X$4-(Iteration!BK19+Massenstromrechnung!$X$3)/2)^Konstanten!$C$18*BM19^Konstanten!$D$18*((Massenstromrechnung!$X$3+Iteration!BK19)/2)^Konstanten!$E$18+(Iteration!BK19-Massenstromrechnung!$X$3)^Konstanten!$F$18))))</f>
        <v>1761.8182918534703</v>
      </c>
      <c r="BO19" s="101"/>
      <c r="BP19">
        <f t="shared" si="10"/>
        <v>1480</v>
      </c>
      <c r="BQ19">
        <f t="shared" si="10"/>
        <v>735</v>
      </c>
      <c r="BR19" s="103">
        <f>Massenstromrechnung!$X$3+2</f>
        <v>9</v>
      </c>
      <c r="BS19" s="103" t="str">
        <f>IF(OR(Massenstromrechnung!$Y$6&lt;(BR19*50+Massenstromrechnung!$X$3)/51,(Massenstromrechnung!$Y$6-(BR19*51+Massenstromrechnung!$X$3)/51)&lt;0.7),"trocken","feucht")</f>
        <v>feucht</v>
      </c>
      <c r="BT19" s="104">
        <f>(Massenstromrechnung!$X$4-(Massenstromrechnung!$X$3+BR19)/2)^Konstanten!$E$7*$AK19*$AL19^Konstanten!$F$7*(BR19-Massenstromrechnung!$X$3)^Konstanten!$G$7*((Massenstromrechnung!$X$3+BR19)/2)^Konstanten!$H$7*(Konstanten!$C$7-(BR19-Massenstromrechnung!$X$3)^Konstanten!$I$7*Konstanten!$D$7)</f>
        <v>1615.8537086662916</v>
      </c>
      <c r="BU19" s="104">
        <f>IF(BS19="trocken",BT19,IF(Konstanten!$A$18*(Massenstromrechnung!$Y$6^Konstanten!$B$18*(Massenstromrechnung!$X$4-(Iteration!BR19+Massenstromrechnung!$X$3)/2)^Konstanten!$C$18*BT19^Konstanten!$D$18*((Massenstromrechnung!$X$3+Iteration!BR19)/2)^Konstanten!$E$18+(Iteration!BR19-Massenstromrechnung!$X$3)^Konstanten!$F$18)&lt;1,BT19,BT19*Konstanten!$A$18*(Massenstromrechnung!$Y$6^Konstanten!$B$18*(Massenstromrechnung!$X$4-(Iteration!BR19+Massenstromrechnung!$X$3)/2)^Konstanten!$C$18*BT19^Konstanten!$D$18*((Massenstromrechnung!$X$3+Iteration!BR19)/2)^Konstanten!$E$18+(Iteration!BR19-Massenstromrechnung!$X$3)^Konstanten!$F$18)))</f>
        <v>2385.6583805424316</v>
      </c>
      <c r="BV19" s="101">
        <f>BU19/(Massenstromrechnung!$AA29*Konstanten!$K$3/3.6)+Massenstromrechnung!$X$3</f>
        <v>13.896314930897731</v>
      </c>
      <c r="BW19" s="103" t="str">
        <f>IF(OR(Massenstromrechnung!$Y$6&lt;(BV19*50+Massenstromrechnung!$X$3)/51,(Massenstromrechnung!$Y$6-(BV19*51+Massenstromrechnung!$X$3)/51)&lt;0.7),"trocken","feucht")</f>
        <v>feucht</v>
      </c>
      <c r="BX19" s="104">
        <f>(Massenstromrechnung!$X$4-(Massenstromrechnung!$X$3+BV19)/2)^Konstanten!$E$7*$AK19*$AL19^Konstanten!$F$7*(BV19-Massenstromrechnung!$X$3)^Konstanten!$G$7*((Massenstromrechnung!$X$3+BV19)/2)^Konstanten!$H$7*(Konstanten!$C$7-(BV19-Massenstromrechnung!$X$3)^Konstanten!$I$7*Konstanten!$D$7)</f>
        <v>1154.9793231134372</v>
      </c>
      <c r="BY19" s="104">
        <f>IF(BW19="trocken",BX19,IF(Konstanten!$A$18*(Massenstromrechnung!$Y$6^Konstanten!$B$18*(Massenstromrechnung!$X$4-(Iteration!BV19+Massenstromrechnung!$X$3)/2)^Konstanten!$C$18*BX19^Konstanten!$D$18*((Massenstromrechnung!$X$3+Iteration!BV19)/2)^Konstanten!$E$18+(Iteration!BV19-Massenstromrechnung!$X$3)^Konstanten!$F$18)&lt;1,BX19,BX19*Konstanten!$A$18*(Massenstromrechnung!$Y$6^Konstanten!$B$18*(Massenstromrechnung!$X$4-(Iteration!BV19+Massenstromrechnung!$X$3)/2)^Konstanten!$C$18*BX19^Konstanten!$D$18*((Massenstromrechnung!$X$3+Iteration!BV19)/2)^Konstanten!$E$18+(Iteration!BV19-Massenstromrechnung!$X$3)^Konstanten!$F$18)))</f>
        <v>1493.5831628325691</v>
      </c>
      <c r="BZ19" s="101">
        <f>BY19/(Massenstromrechnung!$AA29*Konstanten!$K$3/3.6)+Massenstromrechnung!$X$3</f>
        <v>11.317558603691499</v>
      </c>
      <c r="CA19" s="103" t="str">
        <f>IF(OR(Massenstromrechnung!$Y$6&lt;(BZ19*50+Massenstromrechnung!$X$3)/51,(Massenstromrechnung!$Y$6-(BZ19*51+Massenstromrechnung!$X$3)/51)&lt;0.7),"trocken","feucht")</f>
        <v>feucht</v>
      </c>
      <c r="CB19" s="104">
        <f>(Massenstromrechnung!$X$4-(Massenstromrechnung!$X$3+BZ19)/2)^Konstanten!$E$7*$AK19*$AL19^Konstanten!$F$7*(BZ19-Massenstromrechnung!$X$3)^Konstanten!$G$7*((Massenstromrechnung!$X$3+BZ19)/2)^Konstanten!$H$7*(Konstanten!$C$7-(BZ19-Massenstromrechnung!$X$3)^Konstanten!$I$7*Konstanten!$D$7)</f>
        <v>1341.3631398034497</v>
      </c>
      <c r="CC19" s="104">
        <f>IF(CA19="trocken",CB19,IF(Konstanten!$A$18*(Massenstromrechnung!$Y$6^Konstanten!$B$18*(Massenstromrechnung!$X$4-(Iteration!BZ19+Massenstromrechnung!$X$3)/2)^Konstanten!$C$18*CB19^Konstanten!$D$18*((Massenstromrechnung!$X$3+Iteration!BZ19)/2)^Konstanten!$E$18+(Iteration!BZ19-Massenstromrechnung!$X$3)^Konstanten!$F$18)&lt;1,CB19,CB19*Konstanten!$A$18*(Massenstromrechnung!$Y$6^Konstanten!$B$18*(Massenstromrechnung!$X$4-(Iteration!BZ19+Massenstromrechnung!$X$3)/2)^Konstanten!$C$18*CB19^Konstanten!$D$18*((Massenstromrechnung!$X$3+Iteration!BZ19)/2)^Konstanten!$E$18+(Iteration!BZ19-Massenstromrechnung!$X$3)^Konstanten!$F$18)))</f>
        <v>1835.8087415173286</v>
      </c>
      <c r="CD19" s="101">
        <f>CC19/(Massenstromrechnung!$AA29*Konstanten!$K$3/3.6)+Massenstromrechnung!$X$3</f>
        <v>12.306843317407385</v>
      </c>
      <c r="CE19" s="103" t="str">
        <f>IF(OR(Massenstromrechnung!$Y$6&lt;(CD19*50+Massenstromrechnung!$X$3)/51,(Massenstromrechnung!$Y$6-(CD19*51+Massenstromrechnung!$X$3)/51)&lt;0.7),"trocken","feucht")</f>
        <v>feucht</v>
      </c>
      <c r="CF19" s="104">
        <f>(Massenstromrechnung!$X$4-(Massenstromrechnung!$X$3+CD19)/2)^Konstanten!$E$7*$AK19*$AL19^Konstanten!$F$7*(CD19-Massenstromrechnung!$X$3)^Konstanten!$G$7*((Massenstromrechnung!$X$3+CD19)/2)^Konstanten!$H$7*(Konstanten!$C$7-(CD19-Massenstromrechnung!$X$3)^Konstanten!$I$7*Konstanten!$D$7)</f>
        <v>1261.9452251361411</v>
      </c>
      <c r="CG19" s="104">
        <f>IF(CE19="trocken",CF19,IF(Konstanten!$A$18*(Massenstromrechnung!$Y$6^Konstanten!$B$18*(Massenstromrechnung!$X$4-(Iteration!CD19+Massenstromrechnung!$X$3)/2)^Konstanten!$C$18*CF19^Konstanten!$D$18*((Massenstromrechnung!$X$3+Iteration!CD19)/2)^Konstanten!$E$18+(Iteration!CD19-Massenstromrechnung!$X$3)^Konstanten!$F$18)&lt;1,CF19,CF19*Konstanten!$A$18*(Massenstromrechnung!$Y$6^Konstanten!$B$18*(Massenstromrechnung!$X$4-(Iteration!CD19+Massenstromrechnung!$X$3)/2)^Konstanten!$C$18*CF19^Konstanten!$D$18*((Massenstromrechnung!$X$3+Iteration!CD19)/2)^Konstanten!$E$18+(Iteration!CD19-Massenstromrechnung!$X$3)^Konstanten!$F$18)))</f>
        <v>1686.3126903457453</v>
      </c>
      <c r="CH19" s="101">
        <f>CG19/(Massenstromrechnung!$AA29*Konstanten!$K$3/3.6)+Massenstromrechnung!$X$3</f>
        <v>11.874689301470523</v>
      </c>
      <c r="CI19" s="103" t="str">
        <f>IF(OR(Massenstromrechnung!$Y$6&lt;(CH19*50+Massenstromrechnung!$X$3)/51,(Massenstromrechnung!$Y$6-(CH19*51+Massenstromrechnung!$X$3)/51)&lt;0.7),"trocken","feucht")</f>
        <v>feucht</v>
      </c>
      <c r="CJ19" s="104">
        <f>(Massenstromrechnung!$X$4-(Massenstromrechnung!$X$3+CH19)/2)^Konstanten!$E$7*$AK19*$AL19^Konstanten!$F$7*(CH19-Massenstromrechnung!$X$3)^Konstanten!$G$7*((Massenstromrechnung!$X$3+CH19)/2)^Konstanten!$H$7*(Konstanten!$C$7-(CH19-Massenstromrechnung!$X$3)^Konstanten!$I$7*Konstanten!$D$7)</f>
        <v>1295.0857749100976</v>
      </c>
      <c r="CK19" s="104">
        <f>IF(CI19="trocken",CJ19,IF(Konstanten!$A$18*(Massenstromrechnung!$Y$6^Konstanten!$B$18*(Massenstromrechnung!$X$4-(Iteration!CH19+Massenstromrechnung!$X$3)/2)^Konstanten!$C$18*CJ19^Konstanten!$D$18*((Massenstromrechnung!$X$3+Iteration!CH19)/2)^Konstanten!$E$18+(Iteration!CH19-Massenstromrechnung!$X$3)^Konstanten!$F$18)&lt;1,CJ19,CJ19*Konstanten!$A$18*(Massenstromrechnung!$Y$6^Konstanten!$B$18*(Massenstromrechnung!$X$4-(Iteration!CH19+Massenstromrechnung!$X$3)/2)^Konstanten!$C$18*CJ19^Konstanten!$D$18*((Massenstromrechnung!$X$3+Iteration!CH19)/2)^Konstanten!$E$18+(Iteration!CH19-Massenstromrechnung!$X$3)^Konstanten!$F$18)))</f>
        <v>1748.0862198464631</v>
      </c>
      <c r="CL19" s="101">
        <f>CK19/(Massenstromrechnung!$AA29*Konstanten!$K$3/3.6)+Massenstromrechnung!$X$3</f>
        <v>12.053260431899176</v>
      </c>
      <c r="CM19" s="103" t="str">
        <f>IF(OR(Massenstromrechnung!$Y$6&lt;(CL19*50+Massenstromrechnung!$X$3)/51,(Massenstromrechnung!$Y$6-(CL19*51+Massenstromrechnung!$X$3)/51)&lt;0.7),"trocken","feucht")</f>
        <v>feucht</v>
      </c>
      <c r="CN19" s="104">
        <f>(Massenstromrechnung!$X$4-(Massenstromrechnung!$X$3+CL19)/2)^Konstanten!$E$7*$AK19*$AL19^Konstanten!$F$7*(CL19-Massenstromrechnung!$X$3)^Konstanten!$G$7*((Massenstromrechnung!$X$3+CL19)/2)^Konstanten!$H$7*(Konstanten!$C$7-(CL19-Massenstromrechnung!$X$3)^Konstanten!$I$7*Konstanten!$D$7)</f>
        <v>1281.1296496924192</v>
      </c>
      <c r="CO19" s="104">
        <f>IF(CM19="trocken",CN19,IF(Konstanten!$A$18*(Massenstromrechnung!$Y$6^Konstanten!$B$18*(Massenstromrechnung!$X$4-(Iteration!CL19+Massenstromrechnung!$X$3)/2)^Konstanten!$C$18*CN19^Konstanten!$D$18*((Massenstromrechnung!$X$3+Iteration!CL19)/2)^Konstanten!$E$18+(Iteration!CL19-Massenstromrechnung!$X$3)^Konstanten!$F$18)&lt;1,CN19,CN19*Konstanten!$A$18*(Massenstromrechnung!$Y$6^Konstanten!$B$18*(Massenstromrechnung!$X$4-(Iteration!CL19+Massenstromrechnung!$X$3)/2)^Konstanten!$C$18*CN19^Konstanten!$D$18*((Massenstromrechnung!$X$3+Iteration!CL19)/2)^Konstanten!$E$18+(Iteration!CL19-Massenstromrechnung!$X$3)^Konstanten!$F$18)))</f>
        <v>1721.9617035316048</v>
      </c>
      <c r="CP19" s="101">
        <f>IF(CO19/(Massenstromrechnung!$AA29*Konstanten!$K$3/3.6)+Massenstromrechnung!$X$3-Massenstromrechnung!$X$3&lt;1.4,"RLT zu niedrig",CO19/(Massenstromrechnung!$AA29*Konstanten!$K$3/3.6)+Massenstromrechnung!$X$3)</f>
        <v>11.977741282387218</v>
      </c>
      <c r="CQ19" s="103" t="str">
        <f>IF(CP19="RLT zu niedrig","RLT zu niedrig",IF(OR(Massenstromrechnung!$Y$6&lt;(CP19*50+Massenstromrechnung!$X$3)/51,(Massenstromrechnung!$Y$6-(CP19*51+Massenstromrechnung!$X$3)/51)&lt;0.7),"trocken","feucht"))</f>
        <v>feucht</v>
      </c>
      <c r="CR19" s="104">
        <f>IF(CP19="RLT zu niedrig","RLT zu niedrig",(Massenstromrechnung!$X$4-(Massenstromrechnung!$X$3+CP19)/2)^Konstanten!$E$7*$AK19*$AL19^Konstanten!$F$7*(CP19-Massenstromrechnung!$X$3)^Konstanten!$G$7*((Massenstromrechnung!$X$3+CP19)/2)^Konstanten!$H$7*(Konstanten!$C$7-(CP19-Massenstromrechnung!$X$3)^Konstanten!$I$7*Konstanten!$D$7))</f>
        <v>1286.98471222474</v>
      </c>
      <c r="CS19" s="104">
        <f>IF(CP19="RLT zu niedrig","RLT zu niedrig",IF(CQ19="trocken",CR19,IF(Konstanten!$A$18*(Massenstromrechnung!$Y$6^Konstanten!$B$18*(Massenstromrechnung!$X$4-(Iteration!CP19+Massenstromrechnung!$X$3)/2)^Konstanten!$C$18*CR19^Konstanten!$D$18*((Massenstromrechnung!$X$3+Iteration!CP19)/2)^Konstanten!$E$18+(Iteration!CP19-Massenstromrechnung!$X$3)^Konstanten!$F$18)&lt;1,CR19,CR19*Konstanten!$A$18*(Massenstromrechnung!$Y$6^Konstanten!$B$18*(Massenstromrechnung!$X$4-(Iteration!CP19+Massenstromrechnung!$X$3)/2)^Konstanten!$C$18*CR19^Konstanten!$D$18*((Massenstromrechnung!$X$3+Iteration!CP19)/2)^Konstanten!$E$18+(Iteration!CP19-Massenstromrechnung!$X$3)^Konstanten!$F$18))))</f>
        <v>1732.9025369099934</v>
      </c>
    </row>
    <row r="20" spans="1:97" x14ac:dyDescent="0.3">
      <c r="A20">
        <f>Massenstromrechnung!B30</f>
        <v>1480</v>
      </c>
      <c r="B20" s="27">
        <v>495</v>
      </c>
      <c r="C20" s="103">
        <f>IF(Massenstromrechnung!$K$3-10&lt;=Massenstromrechnung!$K$4,Massenstromrechnung!$K$3-0.75*(Massenstromrechnung!$K$3-Massenstromrechnung!$K$4),Massenstromrechnung!$K$3-10)</f>
        <v>65</v>
      </c>
      <c r="D20" s="103">
        <f>-1*((Massenstromrechnung!$K$3+C20)/2-Massenstromrechnung!$K$4)^Konstanten!$E$4*Massenstromrechnung!$B30*Massenstromrechnung!$C30^Konstanten!$F$4*(Massenstromrechnung!$K$3-C20)^Konstanten!$G$4*((Massenstromrechnung!$K$3+C20)/2)^Konstanten!$H$4*(Konstanten!$C$4-((Massenstromrechnung!$K$3-C20)^Konstanten!$I$4*Konstanten!$D$4))/(Massenstromrechnung!$F30*Konstanten!$K$3/3.6)+Massenstromrechnung!$K$3</f>
        <v>65</v>
      </c>
      <c r="E20" s="103">
        <f t="shared" si="6"/>
        <v>65</v>
      </c>
      <c r="F20" s="103">
        <f>-1*((Massenstromrechnung!$K$3+E20)/2-Massenstromrechnung!$K$4)^Konstanten!$E$4*Massenstromrechnung!$B30*Massenstromrechnung!$C30^Konstanten!$F$4*(Massenstromrechnung!$K$3-E20)^Konstanten!$G$4*((Massenstromrechnung!$K$3+E20)/2)^Konstanten!$H$4*(Konstanten!$C$4-((Massenstromrechnung!$K$3-E20)^Konstanten!$I$4*Konstanten!$D$4))/(Massenstromrechnung!$F30*Konstanten!$K$3/3.6)+Massenstromrechnung!$K$3</f>
        <v>65</v>
      </c>
      <c r="G20" s="103">
        <f t="shared" si="0"/>
        <v>65</v>
      </c>
      <c r="H20" s="103">
        <f>-1*((Massenstromrechnung!$K$3+G20)/2-Massenstromrechnung!$K$4)^Konstanten!$E$4*Massenstromrechnung!$B30*Massenstromrechnung!$C30^Konstanten!$F$4*(Massenstromrechnung!$K$3-G20)^Konstanten!$G$4*((Massenstromrechnung!$K$3+G20)/2)^Konstanten!$H$4*(Konstanten!$C$4-((Massenstromrechnung!$K$3-G20)^Konstanten!$I$4*Konstanten!$D$4))/(Massenstromrechnung!$F30*Konstanten!$K$3/3.6)+Massenstromrechnung!$K$3</f>
        <v>65</v>
      </c>
      <c r="I20" s="103">
        <f t="shared" si="1"/>
        <v>65</v>
      </c>
      <c r="J20" s="103">
        <f>-1*((Massenstromrechnung!$K$3+I20)/2-Massenstromrechnung!$K$4)^Konstanten!$E$4*Massenstromrechnung!$B30*Massenstromrechnung!$C30^Konstanten!$F$4*(Massenstromrechnung!$K$3-I20)^Konstanten!$G$4*((Massenstromrechnung!$K$3+I20)/2)^Konstanten!$H$4*(Konstanten!$C$4-((Massenstromrechnung!$K$3-I20)^Konstanten!$I$4*Konstanten!$D$4))/(Massenstromrechnung!$F30*Konstanten!$K$3/3.6)+Massenstromrechnung!$K$3</f>
        <v>65</v>
      </c>
      <c r="K20" s="103">
        <f t="shared" si="2"/>
        <v>65</v>
      </c>
      <c r="L20" s="103">
        <f>-1*((Massenstromrechnung!$K$3+K20)/2-Massenstromrechnung!$K$4)^Konstanten!$E$4*Massenstromrechnung!$B30*Massenstromrechnung!$C30^Konstanten!$F$4*(Massenstromrechnung!$K$3-K20)^Konstanten!$G$4*((Massenstromrechnung!$K$3+K20)/2)^Konstanten!$H$4*(Konstanten!$C$4-((Massenstromrechnung!$K$3-K20)^Konstanten!$I$4*Konstanten!$D$4))/(Massenstromrechnung!$F30*Konstanten!$K$3/3.6)+Massenstromrechnung!$K$3</f>
        <v>65</v>
      </c>
      <c r="N20">
        <f>'Katalogdaten M3G045'!B34</f>
        <v>1480</v>
      </c>
      <c r="O20" s="27">
        <v>495</v>
      </c>
      <c r="P20" s="103">
        <f>IF(Massenstromrechnung!$K$3-10&lt;=Massenstromrechnung!$K$4,Massenstromrechnung!$K$3-0.75*(Massenstromrechnung!$K$3-Massenstromrechnung!$K$4),Massenstromrechnung!$K$3-10)</f>
        <v>65</v>
      </c>
      <c r="Q20" s="103" t="e">
        <f>-1*((Massenstromrechnung!$K$3+P20)/2-Massenstromrechnung!$K$4)^Konstanten!$E$4*Massenstromrechnung!$B30*Massenstromrechnung!$C30^Konstanten!$F$4*(Massenstromrechnung!$K$3-P20)^Konstanten!$G$4*((Massenstromrechnung!$K$3+P20)/2)^Konstanten!$H$4*(Konstanten!$C$4-((Massenstromrechnung!$K$3-P20)^Konstanten!$I$4*Konstanten!$D$4))/(Massenstromrechnung!#REF!*Konstanten!$K$3/3.6)+Massenstromrechnung!$K$3</f>
        <v>#REF!</v>
      </c>
      <c r="R20" s="103" t="e">
        <f t="shared" si="7"/>
        <v>#REF!</v>
      </c>
      <c r="S20" s="103" t="e">
        <f>-1*((Massenstromrechnung!$K$3+R20)/2-Massenstromrechnung!$K$4)^Konstanten!$E$4*Massenstromrechnung!$B30*Massenstromrechnung!$C30^Konstanten!$F$4*(Massenstromrechnung!$K$3-R20)^Konstanten!$G$4*((Massenstromrechnung!$K$3+R20)/2)^Konstanten!$H$4*(Konstanten!$C$4-((Massenstromrechnung!$K$3-R20)^Konstanten!$I$4*Konstanten!$D$4))/(Massenstromrechnung!#REF!*Konstanten!$K$3/3.6)+Massenstromrechnung!$K$3</f>
        <v>#REF!</v>
      </c>
      <c r="T20" s="103" t="e">
        <f t="shared" si="3"/>
        <v>#REF!</v>
      </c>
      <c r="U20" s="103" t="e">
        <f>-1*((Massenstromrechnung!$K$3+T20)/2-Massenstromrechnung!$K$4)^Konstanten!$E$4*Massenstromrechnung!$B30*Massenstromrechnung!$C30^Konstanten!$F$4*(Massenstromrechnung!$K$3-T20)^Konstanten!$G$4*((Massenstromrechnung!$K$3+T20)/2)^Konstanten!$H$4*(Konstanten!$C$4-((Massenstromrechnung!$K$3-T20)^Konstanten!$I$4*Konstanten!$D$4))/(Massenstromrechnung!#REF!*Konstanten!$K$3/3.6)+Massenstromrechnung!$K$3</f>
        <v>#REF!</v>
      </c>
      <c r="V20" s="103" t="e">
        <f t="shared" si="4"/>
        <v>#REF!</v>
      </c>
      <c r="W20" s="103" t="e">
        <f>-1*((Massenstromrechnung!$K$3+V20)/2-Massenstromrechnung!$K$4)^Konstanten!$E$4*Massenstromrechnung!$B30*Massenstromrechnung!$C30^Konstanten!$F$4*(Massenstromrechnung!$K$3-V20)^Konstanten!$G$4*((Massenstromrechnung!$K$3+V20)/2)^Konstanten!$H$4*(Konstanten!$C$4-((Massenstromrechnung!$K$3-V20)^Konstanten!$I$4*Konstanten!$D$4))/(Massenstromrechnung!#REF!*Konstanten!$K$3/3.6)+Massenstromrechnung!$K$3</f>
        <v>#REF!</v>
      </c>
      <c r="X20" s="103" t="e">
        <f t="shared" si="5"/>
        <v>#REF!</v>
      </c>
      <c r="Y20" s="103" t="e">
        <f>-1*((Massenstromrechnung!$K$3+X20)/2-Massenstromrechnung!$K$4)^Konstanten!$E$4*Massenstromrechnung!$B30*Massenstromrechnung!$C30^Konstanten!$F$4*(Massenstromrechnung!$K$3-X20)^Konstanten!$G$4*((Massenstromrechnung!$K$3+X20)/2)^Konstanten!$H$4*(Konstanten!$C$4-((Massenstromrechnung!$K$3-X20)^Konstanten!$I$4*Konstanten!$D$4))/(Massenstromrechnung!#REF!*Konstanten!$K$3/3.6)+Massenstromrechnung!$K$3</f>
        <v>#REF!</v>
      </c>
      <c r="AA20">
        <f t="shared" si="8"/>
        <v>1480</v>
      </c>
      <c r="AB20">
        <f t="shared" si="8"/>
        <v>495</v>
      </c>
      <c r="AC20" s="103">
        <f>IF(Massenstromrechnung!$K$3-10&lt;=Massenstromrechnung!$K$4,Massenstromrechnung!$K$3-0.75*(Massenstromrechnung!$K$3-Massenstromrechnung!$K$4),Massenstromrechnung!$K$3-10)</f>
        <v>65</v>
      </c>
      <c r="AD20" s="103">
        <f>-1*((Massenstromrechnung!$K$3+AC20)/2-Massenstromrechnung!$K$4)^Konstanten!$E$5*$AA20*$AB20^Konstanten!$F$5*(Massenstromrechnung!$K$3-AC20)^Konstanten!$G$5*((Massenstromrechnung!$K$3+AC20)/2)^Konstanten!$H$5*(Konstanten!$C$5-((Massenstromrechnung!$K$3-AC20)^Konstanten!$I$5*Konstanten!$D$5))/(Massenstromrechnung!$L30*Konstanten!$K$3/3.6)+Massenstromrechnung!$K$3</f>
        <v>65</v>
      </c>
      <c r="AE20" s="103">
        <f>-1*((Massenstromrechnung!$K$3+AD20)/2-Massenstromrechnung!$K$4)^Konstanten!$E$5*$AA20*$AB20^Konstanten!$F$5*(Massenstromrechnung!$K$3-AD20)^Konstanten!$G$5*((Massenstromrechnung!$K$3+AD20)/2)^Konstanten!$H$5*(Konstanten!$C$5-((Massenstromrechnung!$K$3-AD20)^Konstanten!$I$5*Konstanten!$D$5))/(Massenstromrechnung!$L30*Konstanten!$K$3/3.6)+Massenstromrechnung!$K$3</f>
        <v>65</v>
      </c>
      <c r="AF20" s="103">
        <f>-1*((Massenstromrechnung!$K$3+AE20)/2-Massenstromrechnung!$K$4)^Konstanten!$E$5*$AA20*$AB20^Konstanten!$F$5*(Massenstromrechnung!$K$3-AE20)^Konstanten!$G$5*((Massenstromrechnung!$K$3+AE20)/2)^Konstanten!$H$5*(Konstanten!$C$5-((Massenstromrechnung!$K$3-AE20)^Konstanten!$I$5*Konstanten!$D$5))/(Massenstromrechnung!$L30*Konstanten!$K$3/3.6)+Massenstromrechnung!$K$3</f>
        <v>65</v>
      </c>
      <c r="AG20" s="103">
        <f>-1*((Massenstromrechnung!$K$3+AF20)/2-Massenstromrechnung!$K$4)^Konstanten!$E$5*$AA20*$AB20^Konstanten!$F$5*(Massenstromrechnung!$K$3-AF20)^Konstanten!$G$5*((Massenstromrechnung!$K$3+AF20)/2)^Konstanten!$H$5*(Konstanten!$C$5-((Massenstromrechnung!$K$3-AF20)^Konstanten!$I$5*Konstanten!$D$5))/(Massenstromrechnung!$L30*Konstanten!$K$3/3.6)+Massenstromrechnung!$K$3</f>
        <v>65</v>
      </c>
      <c r="AH20" s="103">
        <f>-1*((Massenstromrechnung!$K$3+AG20)/2-Massenstromrechnung!$K$4)^Konstanten!$E$5*$AA20*$AB20^Konstanten!$F$5*(Massenstromrechnung!$K$3-AG20)^Konstanten!$G$5*((Massenstromrechnung!$K$3+AG20)/2)^Konstanten!$H$5*(Konstanten!$C$5-((Massenstromrechnung!$K$3-AG20)^Konstanten!$I$5*Konstanten!$D$5))/(Massenstromrechnung!$L30*Konstanten!$K$3/3.6)+Massenstromrechnung!$K$3</f>
        <v>65</v>
      </c>
      <c r="AI20" s="103">
        <f>-1*((Massenstromrechnung!$K$3+AH20)/2-Massenstromrechnung!$K$4)^Konstanten!$E$5*$AA20*$AB20^Konstanten!$F$5*(Massenstromrechnung!$K$3-AH20)^Konstanten!$G$5*((Massenstromrechnung!$K$3+AH20)/2)^Konstanten!$H$5*(Konstanten!$C$5-((Massenstromrechnung!$K$3-AH20)^Konstanten!$I$5*Konstanten!$D$5))/(Massenstromrechnung!$L30*Konstanten!$K$3/3.6)+Massenstromrechnung!$K$3</f>
        <v>65</v>
      </c>
      <c r="AK20">
        <f t="shared" si="9"/>
        <v>1480</v>
      </c>
      <c r="AL20">
        <f t="shared" si="9"/>
        <v>495</v>
      </c>
      <c r="AM20" s="103">
        <f>Massenstromrechnung!$X$3+2</f>
        <v>9</v>
      </c>
      <c r="AN20" s="103" t="str">
        <f>IF(OR(Massenstromrechnung!$Y$6&lt;(AM20*50+Massenstromrechnung!$X$3)/51,(Massenstromrechnung!$Y$6-(AM20*51+Massenstromrechnung!$X$3)/51)&lt;0.7),"trocken","feucht")</f>
        <v>feucht</v>
      </c>
      <c r="AO20" s="104">
        <f>(Massenstromrechnung!$X$4-(Massenstromrechnung!$X$3+AM20)/2)^Konstanten!$E$6*$AK20*$AL20^Konstanten!$F$6*(AM20-Massenstromrechnung!$X$3)^Konstanten!$G$6*((Massenstromrechnung!$X$3+AM20)/2)^Konstanten!$H$6*(Konstanten!$C$6-(AM20-Massenstromrechnung!$X$3)^Konstanten!$I$6*Konstanten!$D$6)</f>
        <v>829.97766195069016</v>
      </c>
      <c r="AP20" s="104">
        <f>IF(AN20="trocken",AO20,IF(Konstanten!$A$18*(Massenstromrechnung!$Y$6^Konstanten!$B$18*(Massenstromrechnung!$X$4-(Iteration!AM20+Massenstromrechnung!$X$3)/2)^Konstanten!$C$18*AO20^Konstanten!$D$18*((Massenstromrechnung!$X$3+Iteration!AM20)/2)^Konstanten!$E$18+(Iteration!AM20-Massenstromrechnung!$X$3)^Konstanten!$F$18)&lt;1,AO20,AO20*Konstanten!$A$18*(Massenstromrechnung!$Y$6^Konstanten!$B$18*(Massenstromrechnung!$X$4-(Iteration!AM20+Massenstromrechnung!$X$3)/2)^Konstanten!$C$18*AO20^Konstanten!$D$18*((Massenstromrechnung!$X$3+Iteration!AM20)/2)^Konstanten!$E$18+(Iteration!AM20-Massenstromrechnung!$X$3)^Konstanten!$F$18)))</f>
        <v>1249.2450652368125</v>
      </c>
      <c r="AQ20" s="101">
        <f>AP20/(Massenstromrechnung!$R30*Konstanten!$K$3/3.6)+Massenstromrechnung!$X$3</f>
        <v>10.544707076249871</v>
      </c>
      <c r="AR20" s="103" t="str">
        <f>IF(OR(Massenstromrechnung!$Y$6&lt;(AQ20*50+Massenstromrechnung!$X$3)/51,(Massenstromrechnung!$Y$6-(AQ20*51+Massenstromrechnung!$X$3)/51)&lt;0.7),"trocken","feucht")</f>
        <v>feucht</v>
      </c>
      <c r="AS20" s="104">
        <f>(Massenstromrechnung!$X$4-(Massenstromrechnung!$X$3+AQ20)/2)^Konstanten!$E$6*$AK20*$AL20^Konstanten!$F$6*(AQ20-Massenstromrechnung!$X$3)^Konstanten!$G$6*((Massenstromrechnung!$X$3+AQ20)/2)^Konstanten!$H$6*(Konstanten!$C$6-(AQ20-Massenstromrechnung!$X$3)^Konstanten!$I$6*Konstanten!$D$6)</f>
        <v>786.14283670790587</v>
      </c>
      <c r="AT20" s="104">
        <f>IF(AR20="trocken",AS20,IF(Konstanten!$A$18*(Massenstromrechnung!$Y$6^Konstanten!$B$18*(Massenstromrechnung!$X$4-(Iteration!AQ20+Massenstromrechnung!$X$3)/2)^Konstanten!$C$18*AS20^Konstanten!$D$18*((Massenstromrechnung!$X$3+Iteration!AQ20)/2)^Konstanten!$E$18+(Iteration!AQ20-Massenstromrechnung!$X$3)^Konstanten!$F$18)&lt;1,AS20,AS20*Konstanten!$A$18*(Massenstromrechnung!$Y$6^Konstanten!$B$18*(Massenstromrechnung!$X$4-(Iteration!AQ20+Massenstromrechnung!$X$3)/2)^Konstanten!$C$18*AS20^Konstanten!$D$18*((Massenstromrechnung!$X$3+Iteration!AQ20)/2)^Konstanten!$E$18+(Iteration!AQ20-Massenstromrechnung!$X$3)^Konstanten!$F$18)))</f>
        <v>1118.2671265634167</v>
      </c>
      <c r="AU20" s="101">
        <f>AT20/(Massenstromrechnung!$R30*Konstanten!$K$3/3.6)+Massenstromrechnung!$X$3</f>
        <v>10.173059879900773</v>
      </c>
      <c r="AV20" s="103" t="str">
        <f>IF(OR(Massenstromrechnung!$Y$6&lt;(AU20*50+Massenstromrechnung!$X$3)/51,(Massenstromrechnung!$Y$6-(AU20*51+Massenstromrechnung!$X$3)/51)&lt;0.7),"trocken","feucht")</f>
        <v>feucht</v>
      </c>
      <c r="AW20" s="104">
        <f>(Massenstromrechnung!$X$4-(Massenstromrechnung!$X$3+AU20)/2)^Konstanten!$E$6*$AK20*$AL20^Konstanten!$F$6*(AU20-Massenstromrechnung!$X$3)^Konstanten!$G$6*((Massenstromrechnung!$X$3+AU20)/2)^Konstanten!$H$6*(Konstanten!$C$6-(AU20-Massenstromrechnung!$X$3)^Konstanten!$I$6*Konstanten!$D$6)</f>
        <v>799.11476086606206</v>
      </c>
      <c r="AX20" s="104">
        <f>IF(AV20="trocken",AW20,IF(Konstanten!$A$18*(Massenstromrechnung!$Y$6^Konstanten!$B$18*(Massenstromrechnung!$X$4-(Iteration!AU20+Massenstromrechnung!$X$3)/2)^Konstanten!$C$18*AW20^Konstanten!$D$18*((Massenstromrechnung!$X$3+Iteration!AU20)/2)^Konstanten!$E$18+(Iteration!AU20-Massenstromrechnung!$X$3)^Konstanten!$F$18)&lt;1,AW20,AW20*Konstanten!$A$18*(Massenstromrechnung!$Y$6^Konstanten!$B$18*(Massenstromrechnung!$X$4-(Iteration!AU20+Massenstromrechnung!$X$3)/2)^Konstanten!$C$18*AW20^Konstanten!$D$18*((Massenstromrechnung!$X$3+Iteration!AU20)/2)^Konstanten!$E$18+(Iteration!AU20-Massenstromrechnung!$X$3)^Konstanten!$F$18)))</f>
        <v>1149.9689573669543</v>
      </c>
      <c r="AY20" s="101">
        <f>AX20/(Massenstromrechnung!$R30*Konstanten!$K$3/3.6)+Massenstromrechnung!$X$3</f>
        <v>10.263013170176988</v>
      </c>
      <c r="AZ20" s="103" t="str">
        <f>IF(OR(Massenstromrechnung!$Y$6&lt;(AY20*50+Massenstromrechnung!$X$3)/51,(Massenstromrechnung!$Y$6-(AY20*51+Massenstromrechnung!$X$3)/51)&lt;0.7),"trocken","feucht")</f>
        <v>feucht</v>
      </c>
      <c r="BA20" s="104">
        <f>(Massenstromrechnung!$X$4-(Massenstromrechnung!$X$3+AY20)/2)^Konstanten!$E$6*$AK20*$AL20^Konstanten!$F$6*(AY20-Massenstromrechnung!$X$3)^Konstanten!$G$6*((Massenstromrechnung!$X$3+AY20)/2)^Konstanten!$H$6*(Konstanten!$C$6-(AY20-Massenstromrechnung!$X$3)^Konstanten!$I$6*Konstanten!$D$6)</f>
        <v>796.02307991809914</v>
      </c>
      <c r="BB20" s="104">
        <f>IF(AZ20="trocken",BA20,IF(Konstanten!$A$18*(Massenstromrechnung!$Y$6^Konstanten!$B$18*(Massenstromrechnung!$X$4-(Iteration!AY20+Massenstromrechnung!$X$3)/2)^Konstanten!$C$18*BA20^Konstanten!$D$18*((Massenstromrechnung!$X$3+Iteration!AY20)/2)^Konstanten!$E$18+(Iteration!AY20-Massenstromrechnung!$X$3)^Konstanten!$F$18)&lt;1,BA20,BA20*Konstanten!$A$18*(Massenstromrechnung!$Y$6^Konstanten!$B$18*(Massenstromrechnung!$X$4-(Iteration!AY20+Massenstromrechnung!$X$3)/2)^Konstanten!$C$18*BA20^Konstanten!$D$18*((Massenstromrechnung!$X$3+Iteration!AY20)/2)^Konstanten!$E$18+(Iteration!AY20-Massenstromrechnung!$X$3)^Konstanten!$F$18)))</f>
        <v>1142.2161848508861</v>
      </c>
      <c r="BC20" s="101">
        <f>BB20/(Massenstromrechnung!$R30*Konstanten!$K$3/3.6)+Massenstromrechnung!$X$3</f>
        <v>10.241014838253978</v>
      </c>
      <c r="BD20" s="103" t="str">
        <f>IF(OR(Massenstromrechnung!$Y$6&lt;(BC20*50+Massenstromrechnung!$X$3)/51,(Massenstromrechnung!$Y$6-(BC20*51+Massenstromrechnung!$X$3)/51)&lt;0.7),"trocken","feucht")</f>
        <v>feucht</v>
      </c>
      <c r="BE20" s="104">
        <f>(Massenstromrechnung!$X$4-(Massenstromrechnung!$X$3+BC20)/2)^Konstanten!$E$6*$AK20*$AL20^Konstanten!$F$6*(BC20-Massenstromrechnung!$X$3)^Konstanten!$G$6*((Massenstromrechnung!$X$3+BC20)/2)^Konstanten!$H$6*(Konstanten!$C$6-(BC20-Massenstromrechnung!$X$3)^Konstanten!$I$6*Konstanten!$D$6)</f>
        <v>796.78270427759367</v>
      </c>
      <c r="BF20" s="104">
        <f>IF(BD20="trocken",BE20,IF(Konstanten!$A$18*(Massenstromrechnung!$Y$6^Konstanten!$B$18*(Massenstromrechnung!$X$4-(Iteration!BC20+Massenstromrechnung!$X$3)/2)^Konstanten!$C$18*BE20^Konstanten!$D$18*((Massenstromrechnung!$X$3+Iteration!BC20)/2)^Konstanten!$E$18+(Iteration!BC20-Massenstromrechnung!$X$3)^Konstanten!$F$18)&lt;1,BE20,BE20*Konstanten!$A$18*(Massenstromrechnung!$Y$6^Konstanten!$B$18*(Massenstromrechnung!$X$4-(Iteration!BC20+Massenstromrechnung!$X$3)/2)^Konstanten!$C$18*BE20^Konstanten!$D$18*((Massenstromrechnung!$X$3+Iteration!BC20)/2)^Konstanten!$E$18+(Iteration!BC20-Massenstromrechnung!$X$3)^Konstanten!$F$18)))</f>
        <v>1144.1080133776204</v>
      </c>
      <c r="BG20" s="101">
        <f>BF20/(Massenstromrechnung!$R30*Konstanten!$K$3/3.6)+Massenstromrechnung!$X$3</f>
        <v>10.246382862633162</v>
      </c>
      <c r="BH20" s="103" t="str">
        <f>IF(OR(Massenstromrechnung!$Y$6&lt;(BG20*50+Massenstromrechnung!$X$3)/51,(Massenstromrechnung!$Y$6-(BG20*51+Massenstromrechnung!$X$3)/51)&lt;0.7),"trocken","feucht")</f>
        <v>feucht</v>
      </c>
      <c r="BI20" s="104">
        <f>(Massenstromrechnung!$X$4-(Massenstromrechnung!$X$3+BG20)/2)^Konstanten!$E$6*$AK20*$AL20^Konstanten!$F$6*(BG20-Massenstromrechnung!$X$3)^Konstanten!$G$6*((Massenstromrechnung!$X$3+BG20)/2)^Konstanten!$H$6*(Konstanten!$C$6-(BG20-Massenstromrechnung!$X$3)^Konstanten!$I$6*Konstanten!$D$6)</f>
        <v>796.59754126427094</v>
      </c>
      <c r="BJ20" s="104">
        <f>IF(BH20="trocken",BI20,IF(Konstanten!$A$18*(Massenstromrechnung!$Y$6^Konstanten!$B$18*(Massenstromrechnung!$X$4-(Iteration!BG20+Massenstromrechnung!$X$3)/2)^Konstanten!$C$18*BI20^Konstanten!$D$18*((Massenstromrechnung!$X$3+Iteration!BG20)/2)^Konstanten!$E$18+(Iteration!BG20-Massenstromrechnung!$X$3)^Konstanten!$F$18)&lt;1,BI20,BI20*Konstanten!$A$18*(Massenstromrechnung!$Y$6^Konstanten!$B$18*(Massenstromrechnung!$X$4-(Iteration!BG20+Massenstromrechnung!$X$3)/2)^Konstanten!$C$18*BI20^Konstanten!$D$18*((Massenstromrechnung!$X$3+Iteration!BG20)/2)^Konstanten!$E$18+(Iteration!BG20-Massenstromrechnung!$X$3)^Konstanten!$F$18)))</f>
        <v>1143.6461137188105</v>
      </c>
      <c r="BK20" s="101">
        <f>IF(BJ20/(Massenstromrechnung!$R30*Konstanten!$K$3/3.6)+Massenstromrechnung!$X$3-Massenstromrechnung!$X$3&lt;1.4,"RLT zu niedrig",BJ20/(Massenstromrechnung!$R30*Konstanten!$K$3/3.6)+Massenstromrechnung!$X$3)</f>
        <v>10.245072231889312</v>
      </c>
      <c r="BL20" s="103" t="str">
        <f>IF(BK20="RLT zu niedrig","RLT zu niedrig",IF(OR(Massenstromrechnung!$Y$6&lt;(BK20*50+Massenstromrechnung!$X$3)/51,(Massenstromrechnung!$Y$6-(BK20*51+Massenstromrechnung!$X$3)/51)&lt;0.7),"trocken","feucht"))</f>
        <v>feucht</v>
      </c>
      <c r="BM20" s="104">
        <f>IF(BK20="RLT zu niedrig","RLT zu niedrig",(Massenstromrechnung!$X$4-(Massenstromrechnung!$X$3+BK20)/2)^Konstanten!$E$6*$AK20*$AL20^Konstanten!$F$6*(BK20-Massenstromrechnung!$X$3)^Konstanten!$G$6*((Massenstromrechnung!$X$3+BK20)/2)^Konstanten!$H$6*(Konstanten!$C$6-(BK20-Massenstromrechnung!$X$3)^Konstanten!$I$6*Konstanten!$D$6))</f>
        <v>796.64276185531685</v>
      </c>
      <c r="BN20" s="104">
        <f>IF(BK20="RLT zu niedrig","RLT zu niedrig",IF(BL20="trocken",BM20,IF(Konstanten!$A$18*(Massenstromrechnung!$Y$6^Konstanten!$B$18*(Massenstromrechnung!$X$4-(Iteration!BK20+Massenstromrechnung!$X$3)/2)^Konstanten!$C$18*BM20^Konstanten!$D$18*((Massenstromrechnung!$X$3+Iteration!BK20)/2)^Konstanten!$E$18+(Iteration!BK20-Massenstromrechnung!$X$3)^Konstanten!$F$18)&lt;1,BM20,BM20*Konstanten!$A$18*(Massenstromrechnung!$Y$6^Konstanten!$B$18*(Massenstromrechnung!$X$4-(Iteration!BK20+Massenstromrechnung!$X$3)/2)^Konstanten!$C$18*BM20^Konstanten!$D$18*((Massenstromrechnung!$X$3+Iteration!BK20)/2)^Konstanten!$E$18+(Iteration!BK20-Massenstromrechnung!$X$3)^Konstanten!$F$18))))</f>
        <v>1143.7588737550548</v>
      </c>
      <c r="BO20" s="101"/>
      <c r="BP20">
        <f t="shared" si="10"/>
        <v>1480</v>
      </c>
      <c r="BQ20">
        <f t="shared" si="10"/>
        <v>495</v>
      </c>
      <c r="BR20" s="103">
        <f>Massenstromrechnung!$X$3+2</f>
        <v>9</v>
      </c>
      <c r="BS20" s="103" t="str">
        <f>IF(OR(Massenstromrechnung!$Y$6&lt;(BR20*50+Massenstromrechnung!$X$3)/51,(Massenstromrechnung!$Y$6-(BR20*51+Massenstromrechnung!$X$3)/51)&lt;0.7),"trocken","feucht")</f>
        <v>feucht</v>
      </c>
      <c r="BT20" s="104">
        <f>(Massenstromrechnung!$X$4-(Massenstromrechnung!$X$3+BR20)/2)^Konstanten!$E$7*$AK20*$AL20^Konstanten!$F$7*(BR20-Massenstromrechnung!$X$3)^Konstanten!$G$7*((Massenstromrechnung!$X$3+BR20)/2)^Konstanten!$H$7*(Konstanten!$C$7-(BR20-Massenstromrechnung!$X$3)^Konstanten!$I$7*Konstanten!$D$7)</f>
        <v>915.01963493968572</v>
      </c>
      <c r="BU20" s="104">
        <f>IF(BS20="trocken",BT20,IF(Konstanten!$A$18*(Massenstromrechnung!$Y$6^Konstanten!$B$18*(Massenstromrechnung!$X$4-(Iteration!BR20+Massenstromrechnung!$X$3)/2)^Konstanten!$C$18*BT20^Konstanten!$D$18*((Massenstromrechnung!$X$3+Iteration!BR20)/2)^Konstanten!$E$18+(Iteration!BR20-Massenstromrechnung!$X$3)^Konstanten!$F$18)&lt;1,BT20,BT20*Konstanten!$A$18*(Massenstromrechnung!$Y$6^Konstanten!$B$18*(Massenstromrechnung!$X$4-(Iteration!BR20+Massenstromrechnung!$X$3)/2)^Konstanten!$C$18*BT20^Konstanten!$D$18*((Massenstromrechnung!$X$3+Iteration!BR20)/2)^Konstanten!$E$18+(Iteration!BR20-Massenstromrechnung!$X$3)^Konstanten!$F$18)))</f>
        <v>1373.3608738135765</v>
      </c>
      <c r="BV20" s="101">
        <f>BU20/(Massenstromrechnung!$AA30*Konstanten!$K$3/3.6)+Massenstromrechnung!$X$3</f>
        <v>13.893036693185474</v>
      </c>
      <c r="BW20" s="103" t="str">
        <f>IF(OR(Massenstromrechnung!$Y$6&lt;(BV20*50+Massenstromrechnung!$X$3)/51,(Massenstromrechnung!$Y$6-(BV20*51+Massenstromrechnung!$X$3)/51)&lt;0.7),"trocken","feucht")</f>
        <v>feucht</v>
      </c>
      <c r="BX20" s="104">
        <f>(Massenstromrechnung!$X$4-(Massenstromrechnung!$X$3+BV20)/2)^Konstanten!$E$7*$AK20*$AL20^Konstanten!$F$7*(BV20-Massenstromrechnung!$X$3)^Konstanten!$G$7*((Massenstromrechnung!$X$3+BV20)/2)^Konstanten!$H$7*(Konstanten!$C$7-(BV20-Massenstromrechnung!$X$3)^Konstanten!$I$7*Konstanten!$D$7)</f>
        <v>654.15154001075462</v>
      </c>
      <c r="BY20" s="104">
        <f>IF(BW20="trocken",BX20,IF(Konstanten!$A$18*(Massenstromrechnung!$Y$6^Konstanten!$B$18*(Massenstromrechnung!$X$4-(Iteration!BV20+Massenstromrechnung!$X$3)/2)^Konstanten!$C$18*BX20^Konstanten!$D$18*((Massenstromrechnung!$X$3+Iteration!BV20)/2)^Konstanten!$E$18+(Iteration!BV20-Massenstromrechnung!$X$3)^Konstanten!$F$18)&lt;1,BX20,BX20*Konstanten!$A$18*(Massenstromrechnung!$Y$6^Konstanten!$B$18*(Massenstromrechnung!$X$4-(Iteration!BV20+Massenstromrechnung!$X$3)/2)^Konstanten!$C$18*BX20^Konstanten!$D$18*((Massenstromrechnung!$X$3+Iteration!BV20)/2)^Konstanten!$E$18+(Iteration!BV20-Massenstromrechnung!$X$3)^Konstanten!$F$18)))</f>
        <v>860.52550834280066</v>
      </c>
      <c r="BZ20" s="101">
        <f>BY20/(Massenstromrechnung!$AA30*Konstanten!$K$3/3.6)+Massenstromrechnung!$X$3</f>
        <v>11.319064287857515</v>
      </c>
      <c r="CA20" s="103" t="str">
        <f>IF(OR(Massenstromrechnung!$Y$6&lt;(BZ20*50+Massenstromrechnung!$X$3)/51,(Massenstromrechnung!$Y$6-(BZ20*51+Massenstromrechnung!$X$3)/51)&lt;0.7),"trocken","feucht")</f>
        <v>feucht</v>
      </c>
      <c r="CB20" s="104">
        <f>(Massenstromrechnung!$X$4-(Massenstromrechnung!$X$3+BZ20)/2)^Konstanten!$E$7*$AK20*$AL20^Konstanten!$F$7*(BZ20-Massenstromrechnung!$X$3)^Konstanten!$G$7*((Massenstromrechnung!$X$3+BZ20)/2)^Konstanten!$H$7*(Konstanten!$C$7-(BZ20-Massenstromrechnung!$X$3)^Konstanten!$I$7*Konstanten!$D$7)</f>
        <v>759.50778545840126</v>
      </c>
      <c r="CC20" s="104">
        <f>IF(CA20="trocken",CB20,IF(Konstanten!$A$18*(Massenstromrechnung!$Y$6^Konstanten!$B$18*(Massenstromrechnung!$X$4-(Iteration!BZ20+Massenstromrechnung!$X$3)/2)^Konstanten!$C$18*CB20^Konstanten!$D$18*((Massenstromrechnung!$X$3+Iteration!BZ20)/2)^Konstanten!$E$18+(Iteration!BZ20-Massenstromrechnung!$X$3)^Konstanten!$F$18)&lt;1,CB20,CB20*Konstanten!$A$18*(Massenstromrechnung!$Y$6^Konstanten!$B$18*(Massenstromrechnung!$X$4-(Iteration!BZ20+Massenstromrechnung!$X$3)/2)^Konstanten!$C$18*CB20^Konstanten!$D$18*((Massenstromrechnung!$X$3+Iteration!BZ20)/2)^Konstanten!$E$18+(Iteration!BZ20-Massenstromrechnung!$X$3)^Konstanten!$F$18)))</f>
        <v>1057.1223558241995</v>
      </c>
      <c r="CD20" s="101">
        <f>CC20/(Massenstromrechnung!$AA30*Konstanten!$K$3/3.6)+Massenstromrechnung!$X$3</f>
        <v>12.305803687015482</v>
      </c>
      <c r="CE20" s="103" t="str">
        <f>IF(OR(Massenstromrechnung!$Y$6&lt;(CD20*50+Massenstromrechnung!$X$3)/51,(Massenstromrechnung!$Y$6-(CD20*51+Massenstromrechnung!$X$3)/51)&lt;0.7),"trocken","feucht")</f>
        <v>feucht</v>
      </c>
      <c r="CF20" s="104">
        <f>(Massenstromrechnung!$X$4-(Massenstromrechnung!$X$3+CD20)/2)^Konstanten!$E$7*$AK20*$AL20^Konstanten!$F$7*(CD20-Massenstromrechnung!$X$3)^Konstanten!$G$7*((Massenstromrechnung!$X$3+CD20)/2)^Konstanten!$H$7*(Konstanten!$C$7-(CD20-Massenstromrechnung!$X$3)^Konstanten!$I$7*Konstanten!$D$7)</f>
        <v>714.65338080045331</v>
      </c>
      <c r="CG20" s="104">
        <f>IF(CE20="trocken",CF20,IF(Konstanten!$A$18*(Massenstromrechnung!$Y$6^Konstanten!$B$18*(Massenstromrechnung!$X$4-(Iteration!CD20+Massenstromrechnung!$X$3)/2)^Konstanten!$C$18*CF20^Konstanten!$D$18*((Massenstromrechnung!$X$3+Iteration!CD20)/2)^Konstanten!$E$18+(Iteration!CD20-Massenstromrechnung!$X$3)^Konstanten!$F$18)&lt;1,CF20,CF20*Konstanten!$A$18*(Massenstromrechnung!$Y$6^Konstanten!$B$18*(Massenstromrechnung!$X$4-(Iteration!CD20+Massenstromrechnung!$X$3)/2)^Konstanten!$C$18*CF20^Konstanten!$D$18*((Massenstromrechnung!$X$3+Iteration!CD20)/2)^Konstanten!$E$18+(Iteration!CD20-Massenstromrechnung!$X$3)^Konstanten!$F$18)))</f>
        <v>971.33172891511219</v>
      </c>
      <c r="CH20" s="101">
        <f>CG20/(Massenstromrechnung!$AA30*Konstanten!$K$3/3.6)+Massenstromrechnung!$X$3</f>
        <v>11.875211880818448</v>
      </c>
      <c r="CI20" s="103" t="str">
        <f>IF(OR(Massenstromrechnung!$Y$6&lt;(CH20*50+Massenstromrechnung!$X$3)/51,(Massenstromrechnung!$Y$6-(CH20*51+Massenstromrechnung!$X$3)/51)&lt;0.7),"trocken","feucht")</f>
        <v>feucht</v>
      </c>
      <c r="CJ20" s="104">
        <f>(Massenstromrechnung!$X$4-(Massenstromrechnung!$X$3+CH20)/2)^Konstanten!$E$7*$AK20*$AL20^Konstanten!$F$7*(CH20-Massenstromrechnung!$X$3)^Konstanten!$G$7*((Massenstromrechnung!$X$3+CH20)/2)^Konstanten!$H$7*(Konstanten!$C$7-(CH20-Massenstromrechnung!$X$3)^Konstanten!$I$7*Konstanten!$D$7)</f>
        <v>733.35290986238556</v>
      </c>
      <c r="CK20" s="104">
        <f>IF(CI20="trocken",CJ20,IF(Konstanten!$A$18*(Massenstromrechnung!$Y$6^Konstanten!$B$18*(Massenstromrechnung!$X$4-(Iteration!CH20+Massenstromrechnung!$X$3)/2)^Konstanten!$C$18*CJ20^Konstanten!$D$18*((Massenstromrechnung!$X$3+Iteration!CH20)/2)^Konstanten!$E$18+(Iteration!CH20-Massenstromrechnung!$X$3)^Konstanten!$F$18)&lt;1,CJ20,CJ20*Konstanten!$A$18*(Massenstromrechnung!$Y$6^Konstanten!$B$18*(Massenstromrechnung!$X$4-(Iteration!CH20+Massenstromrechnung!$X$3)/2)^Konstanten!$C$18*CJ20^Konstanten!$D$18*((Massenstromrechnung!$X$3+Iteration!CH20)/2)^Konstanten!$E$18+(Iteration!CH20-Massenstromrechnung!$X$3)^Konstanten!$F$18)))</f>
        <v>1006.7512502235126</v>
      </c>
      <c r="CL20" s="101">
        <f>CK20/(Massenstromrechnung!$AA30*Konstanten!$K$3/3.6)+Massenstromrechnung!$X$3</f>
        <v>12.052986029397411</v>
      </c>
      <c r="CM20" s="103" t="str">
        <f>IF(OR(Massenstromrechnung!$Y$6&lt;(CL20*50+Massenstromrechnung!$X$3)/51,(Massenstromrechnung!$Y$6-(CL20*51+Massenstromrechnung!$X$3)/51)&lt;0.7),"trocken","feucht")</f>
        <v>feucht</v>
      </c>
      <c r="CN20" s="104">
        <f>(Massenstromrechnung!$X$4-(Massenstromrechnung!$X$3+CL20)/2)^Konstanten!$E$7*$AK20*$AL20^Konstanten!$F$7*(CL20-Massenstromrechnung!$X$3)^Konstanten!$G$7*((Massenstromrechnung!$X$3+CL20)/2)^Konstanten!$H$7*(Konstanten!$C$7-(CL20-Massenstromrechnung!$X$3)^Konstanten!$I$7*Konstanten!$D$7)</f>
        <v>725.48531670563136</v>
      </c>
      <c r="CO20" s="104">
        <f>IF(CM20="trocken",CN20,IF(Konstanten!$A$18*(Massenstromrechnung!$Y$6^Konstanten!$B$18*(Massenstromrechnung!$X$4-(Iteration!CL20+Massenstromrechnung!$X$3)/2)^Konstanten!$C$18*CN20^Konstanten!$D$18*((Massenstromrechnung!$X$3+Iteration!CL20)/2)^Konstanten!$E$18+(Iteration!CL20-Massenstromrechnung!$X$3)^Konstanten!$F$18)&lt;1,CN20,CN20*Konstanten!$A$18*(Massenstromrechnung!$Y$6^Konstanten!$B$18*(Massenstromrechnung!$X$4-(Iteration!CL20+Massenstromrechnung!$X$3)/2)^Konstanten!$C$18*CN20^Konstanten!$D$18*((Massenstromrechnung!$X$3+Iteration!CL20)/2)^Konstanten!$E$18+(Iteration!CL20-Massenstromrechnung!$X$3)^Konstanten!$F$18)))</f>
        <v>991.7863259846971</v>
      </c>
      <c r="CP20" s="101">
        <f>IF(CO20/(Massenstromrechnung!$AA30*Konstanten!$K$3/3.6)+Massenstromrechnung!$X$3-Massenstromrechnung!$X$3&lt;1.4,"RLT zu niedrig",CO20/(Massenstromrechnung!$AA30*Konstanten!$K$3/3.6)+Massenstromrechnung!$X$3)</f>
        <v>11.977875565821689</v>
      </c>
      <c r="CQ20" s="103" t="str">
        <f>IF(CP20="RLT zu niedrig","RLT zu niedrig",IF(OR(Massenstromrechnung!$Y$6&lt;(CP20*50+Massenstromrechnung!$X$3)/51,(Massenstromrechnung!$Y$6-(CP20*51+Massenstromrechnung!$X$3)/51)&lt;0.7),"trocken","feucht"))</f>
        <v>feucht</v>
      </c>
      <c r="CR20" s="104">
        <f>IF(CP20="RLT zu niedrig","RLT zu niedrig",(Massenstromrechnung!$X$4-(Massenstromrechnung!$X$3+CP20)/2)^Konstanten!$E$7*$AK20*$AL20^Konstanten!$F$7*(CP20-Massenstromrechnung!$X$3)^Konstanten!$G$7*((Massenstromrechnung!$X$3+CP20)/2)^Konstanten!$H$7*(Konstanten!$C$7-(CP20-Massenstromrechnung!$X$3)^Konstanten!$I$7*Konstanten!$D$7))</f>
        <v>728.78299169359298</v>
      </c>
      <c r="CS20" s="104">
        <f>IF(CP20="RLT zu niedrig","RLT zu niedrig",IF(CQ20="trocken",CR20,IF(Konstanten!$A$18*(Massenstromrechnung!$Y$6^Konstanten!$B$18*(Massenstromrechnung!$X$4-(Iteration!CP20+Massenstromrechnung!$X$3)/2)^Konstanten!$C$18*CR20^Konstanten!$D$18*((Massenstromrechnung!$X$3+Iteration!CP20)/2)^Konstanten!$E$18+(Iteration!CP20-Massenstromrechnung!$X$3)^Konstanten!$F$18)&lt;1,CR20,CR20*Konstanten!$A$18*(Massenstromrechnung!$Y$6^Konstanten!$B$18*(Massenstromrechnung!$X$4-(Iteration!CP20+Massenstromrechnung!$X$3)/2)^Konstanten!$C$18*CR20^Konstanten!$D$18*((Massenstromrechnung!$X$3+Iteration!CP20)/2)^Konstanten!$E$18+(Iteration!CP20-Massenstromrechnung!$X$3)^Konstanten!$F$18))))</f>
        <v>998.04792419094952</v>
      </c>
    </row>
    <row r="21" spans="1:97" x14ac:dyDescent="0.3">
      <c r="A21">
        <f>Massenstromrechnung!B31</f>
        <v>1480</v>
      </c>
      <c r="B21" s="78">
        <v>315</v>
      </c>
      <c r="C21" s="103">
        <f>IF(Massenstromrechnung!$K$3-10&lt;=Massenstromrechnung!$K$4,Massenstromrechnung!$K$3-0.75*(Massenstromrechnung!$K$3-Massenstromrechnung!$K$4),Massenstromrechnung!$K$3-10)</f>
        <v>65</v>
      </c>
      <c r="D21" s="103">
        <f>-1*((Massenstromrechnung!$K$3+C21)/2-Massenstromrechnung!$K$4)^Konstanten!$E$4*Massenstromrechnung!$B31*Massenstromrechnung!$C31^Konstanten!$F$4*(Massenstromrechnung!$K$3-C21)^Konstanten!$G$4*((Massenstromrechnung!$K$3+C21)/2)^Konstanten!$H$4*(Konstanten!$C$4-((Massenstromrechnung!$K$3-C21)^Konstanten!$I$4*Konstanten!$D$4))/(Massenstromrechnung!$F31*Konstanten!$K$3/3.6)+Massenstromrechnung!$K$3</f>
        <v>65</v>
      </c>
      <c r="E21" s="103">
        <f t="shared" si="6"/>
        <v>65</v>
      </c>
      <c r="F21" s="103">
        <f>-1*((Massenstromrechnung!$K$3+E21)/2-Massenstromrechnung!$K$4)^Konstanten!$E$4*Massenstromrechnung!$B31*Massenstromrechnung!$C31^Konstanten!$F$4*(Massenstromrechnung!$K$3-E21)^Konstanten!$G$4*((Massenstromrechnung!$K$3+E21)/2)^Konstanten!$H$4*(Konstanten!$C$4-((Massenstromrechnung!$K$3-E21)^Konstanten!$I$4*Konstanten!$D$4))/(Massenstromrechnung!$F31*Konstanten!$K$3/3.6)+Massenstromrechnung!$K$3</f>
        <v>65</v>
      </c>
      <c r="G21" s="103">
        <f t="shared" si="0"/>
        <v>65</v>
      </c>
      <c r="H21" s="103">
        <f>-1*((Massenstromrechnung!$K$3+G21)/2-Massenstromrechnung!$K$4)^Konstanten!$E$4*Massenstromrechnung!$B31*Massenstromrechnung!$C31^Konstanten!$F$4*(Massenstromrechnung!$K$3-G21)^Konstanten!$G$4*((Massenstromrechnung!$K$3+G21)/2)^Konstanten!$H$4*(Konstanten!$C$4-((Massenstromrechnung!$K$3-G21)^Konstanten!$I$4*Konstanten!$D$4))/(Massenstromrechnung!$F31*Konstanten!$K$3/3.6)+Massenstromrechnung!$K$3</f>
        <v>65</v>
      </c>
      <c r="I21" s="103">
        <f t="shared" si="1"/>
        <v>65</v>
      </c>
      <c r="J21" s="103">
        <f>-1*((Massenstromrechnung!$K$3+I21)/2-Massenstromrechnung!$K$4)^Konstanten!$E$4*Massenstromrechnung!$B31*Massenstromrechnung!$C31^Konstanten!$F$4*(Massenstromrechnung!$K$3-I21)^Konstanten!$G$4*((Massenstromrechnung!$K$3+I21)/2)^Konstanten!$H$4*(Konstanten!$C$4-((Massenstromrechnung!$K$3-I21)^Konstanten!$I$4*Konstanten!$D$4))/(Massenstromrechnung!$F31*Konstanten!$K$3/3.6)+Massenstromrechnung!$K$3</f>
        <v>65</v>
      </c>
      <c r="K21" s="103">
        <f t="shared" si="2"/>
        <v>65</v>
      </c>
      <c r="L21" s="103">
        <f>-1*((Massenstromrechnung!$K$3+K21)/2-Massenstromrechnung!$K$4)^Konstanten!$E$4*Massenstromrechnung!$B31*Massenstromrechnung!$C31^Konstanten!$F$4*(Massenstromrechnung!$K$3-K21)^Konstanten!$G$4*((Massenstromrechnung!$K$3+K21)/2)^Konstanten!$H$4*(Konstanten!$C$4-((Massenstromrechnung!$K$3-K21)^Konstanten!$I$4*Konstanten!$D$4))/(Massenstromrechnung!$F31*Konstanten!$K$3/3.6)+Massenstromrechnung!$K$3</f>
        <v>65</v>
      </c>
      <c r="N21">
        <f>'Katalogdaten M3G045'!B35</f>
        <v>1480</v>
      </c>
      <c r="O21" s="78">
        <v>315</v>
      </c>
      <c r="P21" s="103">
        <f>IF(Massenstromrechnung!$K$3-10&lt;=Massenstromrechnung!$K$4,Massenstromrechnung!$K$3-0.75*(Massenstromrechnung!$K$3-Massenstromrechnung!$K$4),Massenstromrechnung!$K$3-10)</f>
        <v>65</v>
      </c>
      <c r="Q21" s="103" t="e">
        <f>-1*((Massenstromrechnung!$K$3+P21)/2-Massenstromrechnung!$K$4)^Konstanten!$E$4*Massenstromrechnung!$B31*Massenstromrechnung!$C31^Konstanten!$F$4*(Massenstromrechnung!$K$3-P21)^Konstanten!$G$4*((Massenstromrechnung!$K$3+P21)/2)^Konstanten!$H$4*(Konstanten!$C$4-((Massenstromrechnung!$K$3-P21)^Konstanten!$I$4*Konstanten!$D$4))/(Massenstromrechnung!#REF!*Konstanten!$K$3/3.6)+Massenstromrechnung!$K$3</f>
        <v>#REF!</v>
      </c>
      <c r="R21" s="103" t="e">
        <f t="shared" si="7"/>
        <v>#REF!</v>
      </c>
      <c r="S21" s="103" t="e">
        <f>-1*((Massenstromrechnung!$K$3+R21)/2-Massenstromrechnung!$K$4)^Konstanten!$E$4*Massenstromrechnung!$B31*Massenstromrechnung!$C31^Konstanten!$F$4*(Massenstromrechnung!$K$3-R21)^Konstanten!$G$4*((Massenstromrechnung!$K$3+R21)/2)^Konstanten!$H$4*(Konstanten!$C$4-((Massenstromrechnung!$K$3-R21)^Konstanten!$I$4*Konstanten!$D$4))/(Massenstromrechnung!#REF!*Konstanten!$K$3/3.6)+Massenstromrechnung!$K$3</f>
        <v>#REF!</v>
      </c>
      <c r="T21" s="103" t="e">
        <f t="shared" si="3"/>
        <v>#REF!</v>
      </c>
      <c r="U21" s="103" t="e">
        <f>-1*((Massenstromrechnung!$K$3+T21)/2-Massenstromrechnung!$K$4)^Konstanten!$E$4*Massenstromrechnung!$B31*Massenstromrechnung!$C31^Konstanten!$F$4*(Massenstromrechnung!$K$3-T21)^Konstanten!$G$4*((Massenstromrechnung!$K$3+T21)/2)^Konstanten!$H$4*(Konstanten!$C$4-((Massenstromrechnung!$K$3-T21)^Konstanten!$I$4*Konstanten!$D$4))/(Massenstromrechnung!#REF!*Konstanten!$K$3/3.6)+Massenstromrechnung!$K$3</f>
        <v>#REF!</v>
      </c>
      <c r="V21" s="103" t="e">
        <f t="shared" si="4"/>
        <v>#REF!</v>
      </c>
      <c r="W21" s="103" t="e">
        <f>-1*((Massenstromrechnung!$K$3+V21)/2-Massenstromrechnung!$K$4)^Konstanten!$E$4*Massenstromrechnung!$B31*Massenstromrechnung!$C31^Konstanten!$F$4*(Massenstromrechnung!$K$3-V21)^Konstanten!$G$4*((Massenstromrechnung!$K$3+V21)/2)^Konstanten!$H$4*(Konstanten!$C$4-((Massenstromrechnung!$K$3-V21)^Konstanten!$I$4*Konstanten!$D$4))/(Massenstromrechnung!#REF!*Konstanten!$K$3/3.6)+Massenstromrechnung!$K$3</f>
        <v>#REF!</v>
      </c>
      <c r="X21" s="103" t="e">
        <f t="shared" si="5"/>
        <v>#REF!</v>
      </c>
      <c r="Y21" s="103" t="e">
        <f>-1*((Massenstromrechnung!$K$3+X21)/2-Massenstromrechnung!$K$4)^Konstanten!$E$4*Massenstromrechnung!$B31*Massenstromrechnung!$C31^Konstanten!$F$4*(Massenstromrechnung!$K$3-X21)^Konstanten!$G$4*((Massenstromrechnung!$K$3+X21)/2)^Konstanten!$H$4*(Konstanten!$C$4-((Massenstromrechnung!$K$3-X21)^Konstanten!$I$4*Konstanten!$D$4))/(Massenstromrechnung!#REF!*Konstanten!$K$3/3.6)+Massenstromrechnung!$K$3</f>
        <v>#REF!</v>
      </c>
      <c r="AA21">
        <f t="shared" si="8"/>
        <v>1480</v>
      </c>
      <c r="AB21">
        <f t="shared" si="8"/>
        <v>315</v>
      </c>
      <c r="AC21" s="103">
        <f>IF(Massenstromrechnung!$K$3-10&lt;=Massenstromrechnung!$K$4,Massenstromrechnung!$K$3-0.75*(Massenstromrechnung!$K$3-Massenstromrechnung!$K$4),Massenstromrechnung!$K$3-10)</f>
        <v>65</v>
      </c>
      <c r="AD21" s="103">
        <f>-1*((Massenstromrechnung!$K$3+AC21)/2-Massenstromrechnung!$K$4)^Konstanten!$E$5*$AA21*$AB21^Konstanten!$F$5*(Massenstromrechnung!$K$3-AC21)^Konstanten!$G$5*((Massenstromrechnung!$K$3+AC21)/2)^Konstanten!$H$5*(Konstanten!$C$5-((Massenstromrechnung!$K$3-AC21)^Konstanten!$I$5*Konstanten!$D$5))/(Massenstromrechnung!$L31*Konstanten!$K$3/3.6)+Massenstromrechnung!$K$3</f>
        <v>65</v>
      </c>
      <c r="AE21" s="103">
        <f>-1*((Massenstromrechnung!$K$3+AD21)/2-Massenstromrechnung!$K$4)^Konstanten!$E$5*$AA21*$AB21^Konstanten!$F$5*(Massenstromrechnung!$K$3-AD21)^Konstanten!$G$5*((Massenstromrechnung!$K$3+AD21)/2)^Konstanten!$H$5*(Konstanten!$C$5-((Massenstromrechnung!$K$3-AD21)^Konstanten!$I$5*Konstanten!$D$5))/(Massenstromrechnung!$L31*Konstanten!$K$3/3.6)+Massenstromrechnung!$K$3</f>
        <v>65</v>
      </c>
      <c r="AF21" s="103">
        <f>-1*((Massenstromrechnung!$K$3+AE21)/2-Massenstromrechnung!$K$4)^Konstanten!$E$5*$AA21*$AB21^Konstanten!$F$5*(Massenstromrechnung!$K$3-AE21)^Konstanten!$G$5*((Massenstromrechnung!$K$3+AE21)/2)^Konstanten!$H$5*(Konstanten!$C$5-((Massenstromrechnung!$K$3-AE21)^Konstanten!$I$5*Konstanten!$D$5))/(Massenstromrechnung!$L31*Konstanten!$K$3/3.6)+Massenstromrechnung!$K$3</f>
        <v>65</v>
      </c>
      <c r="AG21" s="103">
        <f>-1*((Massenstromrechnung!$K$3+AF21)/2-Massenstromrechnung!$K$4)^Konstanten!$E$5*$AA21*$AB21^Konstanten!$F$5*(Massenstromrechnung!$K$3-AF21)^Konstanten!$G$5*((Massenstromrechnung!$K$3+AF21)/2)^Konstanten!$H$5*(Konstanten!$C$5-((Massenstromrechnung!$K$3-AF21)^Konstanten!$I$5*Konstanten!$D$5))/(Massenstromrechnung!$L31*Konstanten!$K$3/3.6)+Massenstromrechnung!$K$3</f>
        <v>65</v>
      </c>
      <c r="AH21" s="103">
        <f>-1*((Massenstromrechnung!$K$3+AG21)/2-Massenstromrechnung!$K$4)^Konstanten!$E$5*$AA21*$AB21^Konstanten!$F$5*(Massenstromrechnung!$K$3-AG21)^Konstanten!$G$5*((Massenstromrechnung!$K$3+AG21)/2)^Konstanten!$H$5*(Konstanten!$C$5-((Massenstromrechnung!$K$3-AG21)^Konstanten!$I$5*Konstanten!$D$5))/(Massenstromrechnung!$L31*Konstanten!$K$3/3.6)+Massenstromrechnung!$K$3</f>
        <v>65</v>
      </c>
      <c r="AI21" s="103">
        <f>-1*((Massenstromrechnung!$K$3+AH21)/2-Massenstromrechnung!$K$4)^Konstanten!$E$5*$AA21*$AB21^Konstanten!$F$5*(Massenstromrechnung!$K$3-AH21)^Konstanten!$G$5*((Massenstromrechnung!$K$3+AH21)/2)^Konstanten!$H$5*(Konstanten!$C$5-((Massenstromrechnung!$K$3-AH21)^Konstanten!$I$5*Konstanten!$D$5))/(Massenstromrechnung!$L31*Konstanten!$K$3/3.6)+Massenstromrechnung!$K$3</f>
        <v>65</v>
      </c>
      <c r="AK21">
        <f t="shared" si="9"/>
        <v>1480</v>
      </c>
      <c r="AL21">
        <f t="shared" si="9"/>
        <v>315</v>
      </c>
      <c r="AM21" s="103">
        <f>Massenstromrechnung!$X$3+2</f>
        <v>9</v>
      </c>
      <c r="AN21" s="103" t="str">
        <f>IF(OR(Massenstromrechnung!$Y$6&lt;(AM21*50+Massenstromrechnung!$X$3)/51,(Massenstromrechnung!$Y$6-(AM21*51+Massenstromrechnung!$X$3)/51)&lt;0.7),"trocken","feucht")</f>
        <v>feucht</v>
      </c>
      <c r="AO21" s="104">
        <f>(Massenstromrechnung!$X$4-(Massenstromrechnung!$X$3+AM21)/2)^Konstanten!$E$6*$AK21*$AL21^Konstanten!$F$6*(AM21-Massenstromrechnung!$X$3)^Konstanten!$G$6*((Massenstromrechnung!$X$3+AM21)/2)^Konstanten!$H$6*(Konstanten!$C$6-(AM21-Massenstromrechnung!$X$3)^Konstanten!$I$6*Konstanten!$D$6)</f>
        <v>428.65178468249428</v>
      </c>
      <c r="AP21" s="104">
        <f>IF(AN21="trocken",AO21,IF(Konstanten!$A$18*(Massenstromrechnung!$Y$6^Konstanten!$B$18*(Massenstromrechnung!$X$4-(Iteration!AM21+Massenstromrechnung!$X$3)/2)^Konstanten!$C$18*AO21^Konstanten!$D$18*((Massenstromrechnung!$X$3+Iteration!AM21)/2)^Konstanten!$E$18+(Iteration!AM21-Massenstromrechnung!$X$3)^Konstanten!$F$18)&lt;1,AO21,AO21*Konstanten!$A$18*(Massenstromrechnung!$Y$6^Konstanten!$B$18*(Massenstromrechnung!$X$4-(Iteration!AM21+Massenstromrechnung!$X$3)/2)^Konstanten!$C$18*AO21^Konstanten!$D$18*((Massenstromrechnung!$X$3+Iteration!AM21)/2)^Konstanten!$E$18+(Iteration!AM21-Massenstromrechnung!$X$3)^Konstanten!$F$18)))</f>
        <v>657.66325274229382</v>
      </c>
      <c r="AQ21" s="101">
        <f>AP21/(Massenstromrechnung!$R31*Konstanten!$K$3/3.6)+Massenstromrechnung!$X$3</f>
        <v>8.8661058992001696</v>
      </c>
      <c r="AR21" s="103" t="str">
        <f>IF(OR(Massenstromrechnung!$Y$6&lt;(AQ21*50+Massenstromrechnung!$X$3)/51,(Massenstromrechnung!$Y$6-(AQ21*51+Massenstromrechnung!$X$3)/51)&lt;0.7),"trocken","feucht")</f>
        <v>feucht</v>
      </c>
      <c r="AS21" s="104">
        <f>(Massenstromrechnung!$X$4-(Massenstromrechnung!$X$3+AQ21)/2)^Konstanten!$E$6*$AK21*$AL21^Konstanten!$F$6*(AQ21-Massenstromrechnung!$X$3)^Konstanten!$G$6*((Massenstromrechnung!$X$3+AQ21)/2)^Konstanten!$H$6*(Konstanten!$C$6-(AQ21-Massenstromrechnung!$X$3)^Konstanten!$I$6*Konstanten!$D$6)</f>
        <v>429.11019470900453</v>
      </c>
      <c r="AT21" s="104">
        <f>IF(AR21="trocken",AS21,IF(Konstanten!$A$18*(Massenstromrechnung!$Y$6^Konstanten!$B$18*(Massenstromrechnung!$X$4-(Iteration!AQ21+Massenstromrechnung!$X$3)/2)^Konstanten!$C$18*AS21^Konstanten!$D$18*((Massenstromrechnung!$X$3+Iteration!AQ21)/2)^Konstanten!$E$18+(Iteration!AQ21-Massenstromrechnung!$X$3)^Konstanten!$F$18)&lt;1,AS21,AS21*Konstanten!$A$18*(Massenstromrechnung!$Y$6^Konstanten!$B$18*(Massenstromrechnung!$X$4-(Iteration!AQ21+Massenstromrechnung!$X$3)/2)^Konstanten!$C$18*AS21^Konstanten!$D$18*((Massenstromrechnung!$X$3+Iteration!AQ21)/2)^Konstanten!$E$18+(Iteration!AQ21-Massenstromrechnung!$X$3)^Konstanten!$F$18)))</f>
        <v>662.58171009088971</v>
      </c>
      <c r="AU21" s="101">
        <f>AT21/(Massenstromrechnung!$R31*Konstanten!$K$3/3.6)+Massenstromrechnung!$X$3</f>
        <v>8.8800619203628361</v>
      </c>
      <c r="AV21" s="103" t="str">
        <f>IF(OR(Massenstromrechnung!$Y$6&lt;(AU21*50+Massenstromrechnung!$X$3)/51,(Massenstromrechnung!$Y$6-(AU21*51+Massenstromrechnung!$X$3)/51)&lt;0.7),"trocken","feucht")</f>
        <v>feucht</v>
      </c>
      <c r="AW21" s="104">
        <f>(Massenstromrechnung!$X$4-(Massenstromrechnung!$X$3+AU21)/2)^Konstanten!$E$6*$AK21*$AL21^Konstanten!$F$6*(AU21-Massenstromrechnung!$X$3)^Konstanten!$G$6*((Massenstromrechnung!$X$3+AU21)/2)^Konstanten!$H$6*(Konstanten!$C$6-(AU21-Massenstromrechnung!$X$3)^Konstanten!$I$6*Konstanten!$D$6)</f>
        <v>429.08835897861758</v>
      </c>
      <c r="AX21" s="104">
        <f>IF(AV21="trocken",AW21,IF(Konstanten!$A$18*(Massenstromrechnung!$Y$6^Konstanten!$B$18*(Massenstromrechnung!$X$4-(Iteration!AU21+Massenstromrechnung!$X$3)/2)^Konstanten!$C$18*AW21^Konstanten!$D$18*((Massenstromrechnung!$X$3+Iteration!AU21)/2)^Konstanten!$E$18+(Iteration!AU21-Massenstromrechnung!$X$3)^Konstanten!$F$18)&lt;1,AW21,AW21*Konstanten!$A$18*(Massenstromrechnung!$Y$6^Konstanten!$B$18*(Massenstromrechnung!$X$4-(Iteration!AU21+Massenstromrechnung!$X$3)/2)^Konstanten!$C$18*AW21^Konstanten!$D$18*((Massenstromrechnung!$X$3+Iteration!AU21)/2)^Konstanten!$E$18+(Iteration!AU21-Massenstromrechnung!$X$3)^Konstanten!$F$18)))</f>
        <v>662.09488154549206</v>
      </c>
      <c r="AY21" s="101">
        <f>AX21/(Massenstromrechnung!$R31*Konstanten!$K$3/3.6)+Massenstromrechnung!$X$3</f>
        <v>8.8786805544180645</v>
      </c>
      <c r="AZ21" s="103" t="str">
        <f>IF(OR(Massenstromrechnung!$Y$6&lt;(AY21*50+Massenstromrechnung!$X$3)/51,(Massenstromrechnung!$Y$6-(AY21*51+Massenstromrechnung!$X$3)/51)&lt;0.7),"trocken","feucht")</f>
        <v>feucht</v>
      </c>
      <c r="BA21" s="104">
        <f>(Massenstromrechnung!$X$4-(Massenstromrechnung!$X$3+AY21)/2)^Konstanten!$E$6*$AK21*$AL21^Konstanten!$F$6*(AY21-Massenstromrechnung!$X$3)^Konstanten!$G$6*((Massenstromrechnung!$X$3+AY21)/2)^Konstanten!$H$6*(Konstanten!$C$6-(AY21-Massenstromrechnung!$X$3)^Konstanten!$I$6*Konstanten!$D$6)</f>
        <v>429.09081183530901</v>
      </c>
      <c r="BB21" s="104">
        <f>IF(AZ21="trocken",BA21,IF(Konstanten!$A$18*(Massenstromrechnung!$Y$6^Konstanten!$B$18*(Massenstromrechnung!$X$4-(Iteration!AY21+Massenstromrechnung!$X$3)/2)^Konstanten!$C$18*BA21^Konstanten!$D$18*((Massenstromrechnung!$X$3+Iteration!AY21)/2)^Konstanten!$E$18+(Iteration!AY21-Massenstromrechnung!$X$3)^Konstanten!$F$18)&lt;1,BA21,BA21*Konstanten!$A$18*(Massenstromrechnung!$Y$6^Konstanten!$B$18*(Massenstromrechnung!$X$4-(Iteration!AY21+Massenstromrechnung!$X$3)/2)^Konstanten!$C$18*BA21^Konstanten!$D$18*((Massenstromrechnung!$X$3+Iteration!AY21)/2)^Konstanten!$E$18+(Iteration!AY21-Massenstromrechnung!$X$3)^Konstanten!$F$18)))</f>
        <v>662.14336494003157</v>
      </c>
      <c r="BC21" s="101">
        <f>BB21/(Massenstromrechnung!$R31*Konstanten!$K$3/3.6)+Massenstromrechnung!$X$3</f>
        <v>8.8788181250489089</v>
      </c>
      <c r="BD21" s="103" t="str">
        <f>IF(OR(Massenstromrechnung!$Y$6&lt;(BC21*50+Massenstromrechnung!$X$3)/51,(Massenstromrechnung!$Y$6-(BC21*51+Massenstromrechnung!$X$3)/51)&lt;0.7),"trocken","feucht")</f>
        <v>feucht</v>
      </c>
      <c r="BE21" s="104">
        <f>(Massenstromrechnung!$X$4-(Massenstromrechnung!$X$3+BC21)/2)^Konstanten!$E$6*$AK21*$AL21^Konstanten!$F$6*(BC21-Massenstromrechnung!$X$3)^Konstanten!$G$6*((Massenstromrechnung!$X$3+BC21)/2)^Konstanten!$H$6*(Konstanten!$C$6-(BC21-Massenstromrechnung!$X$3)^Konstanten!$I$6*Konstanten!$D$6)</f>
        <v>429.09057040200628</v>
      </c>
      <c r="BF21" s="104">
        <f>IF(BD21="trocken",BE21,IF(Konstanten!$A$18*(Massenstromrechnung!$Y$6^Konstanten!$B$18*(Massenstromrechnung!$X$4-(Iteration!BC21+Massenstromrechnung!$X$3)/2)^Konstanten!$C$18*BE21^Konstanten!$D$18*((Massenstromrechnung!$X$3+Iteration!BC21)/2)^Konstanten!$E$18+(Iteration!BC21-Massenstromrechnung!$X$3)^Konstanten!$F$18)&lt;1,BE21,BE21*Konstanten!$A$18*(Massenstromrechnung!$Y$6^Konstanten!$B$18*(Massenstromrechnung!$X$4-(Iteration!BC21+Massenstromrechnung!$X$3)/2)^Konstanten!$C$18*BE21^Konstanten!$D$18*((Massenstromrechnung!$X$3+Iteration!BC21)/2)^Konstanten!$E$18+(Iteration!BC21-Massenstromrechnung!$X$3)^Konstanten!$F$18)))</f>
        <v>662.13853935957707</v>
      </c>
      <c r="BG21" s="101">
        <f>BF21/(Massenstromrechnung!$R31*Konstanten!$K$3/3.6)+Massenstromrechnung!$X$3</f>
        <v>8.8788044325640154</v>
      </c>
      <c r="BH21" s="103" t="str">
        <f>IF(OR(Massenstromrechnung!$Y$6&lt;(BG21*50+Massenstromrechnung!$X$3)/51,(Massenstromrechnung!$Y$6-(BG21*51+Massenstromrechnung!$X$3)/51)&lt;0.7),"trocken","feucht")</f>
        <v>feucht</v>
      </c>
      <c r="BI21" s="104">
        <f>(Massenstromrechnung!$X$4-(Massenstromrechnung!$X$3+BG21)/2)^Konstanten!$E$6*$AK21*$AL21^Konstanten!$F$6*(BG21-Massenstromrechnung!$X$3)^Konstanten!$G$6*((Massenstromrechnung!$X$3+BG21)/2)^Konstanten!$H$6*(Konstanten!$C$6-(BG21-Massenstromrechnung!$X$3)^Konstanten!$I$6*Konstanten!$D$6)</f>
        <v>429.09059446027749</v>
      </c>
      <c r="BJ21" s="104">
        <f>IF(BH21="trocken",BI21,IF(Konstanten!$A$18*(Massenstromrechnung!$Y$6^Konstanten!$B$18*(Massenstromrechnung!$X$4-(Iteration!BG21+Massenstromrechnung!$X$3)/2)^Konstanten!$C$18*BI21^Konstanten!$D$18*((Massenstromrechnung!$X$3+Iteration!BG21)/2)^Konstanten!$E$18+(Iteration!BG21-Massenstromrechnung!$X$3)^Konstanten!$F$18)&lt;1,BI21,BI21*Konstanten!$A$18*(Massenstromrechnung!$Y$6^Konstanten!$B$18*(Massenstromrechnung!$X$4-(Iteration!BG21+Massenstromrechnung!$X$3)/2)^Konstanten!$C$18*BI21^Konstanten!$D$18*((Massenstromrechnung!$X$3+Iteration!BG21)/2)^Konstanten!$E$18+(Iteration!BG21-Massenstromrechnung!$X$3)^Konstanten!$F$18)))</f>
        <v>662.13901968116863</v>
      </c>
      <c r="BK21" s="101">
        <f>IF(BJ21/(Massenstromrechnung!$R31*Konstanten!$K$3/3.6)+Massenstromrechnung!$X$3-Massenstromrechnung!$X$3&lt;1.4,"RLT zu niedrig",BJ21/(Massenstromrechnung!$R31*Konstanten!$K$3/3.6)+Massenstromrechnung!$X$3)</f>
        <v>8.8788057954666133</v>
      </c>
      <c r="BL21" s="103" t="str">
        <f>IF(BK21="RLT zu niedrig","RLT zu niedrig",IF(OR(Massenstromrechnung!$Y$6&lt;(BK21*50+Massenstromrechnung!$X$3)/51,(Massenstromrechnung!$Y$6-(BK21*51+Massenstromrechnung!$X$3)/51)&lt;0.7),"trocken","feucht"))</f>
        <v>feucht</v>
      </c>
      <c r="BM21" s="104">
        <f>IF(BK21="RLT zu niedrig","RLT zu niedrig",(Massenstromrechnung!$X$4-(Massenstromrechnung!$X$3+BK21)/2)^Konstanten!$E$6*$AK21*$AL21^Konstanten!$F$6*(BK21-Massenstromrechnung!$X$3)^Konstanten!$G$6*((Massenstromrechnung!$X$3+BK21)/2)^Konstanten!$H$6*(Konstanten!$C$6-(BK21-Massenstromrechnung!$X$3)^Konstanten!$I$6*Konstanten!$D$6))</f>
        <v>429.09059206587222</v>
      </c>
      <c r="BN21" s="104">
        <f>IF(BK21="RLT zu niedrig","RLT zu niedrig",IF(BL21="trocken",BM21,IF(Konstanten!$A$18*(Massenstromrechnung!$Y$6^Konstanten!$B$18*(Massenstromrechnung!$X$4-(Iteration!BK21+Massenstromrechnung!$X$3)/2)^Konstanten!$C$18*BM21^Konstanten!$D$18*((Massenstromrechnung!$X$3+Iteration!BK21)/2)^Konstanten!$E$18+(Iteration!BK21-Massenstromrechnung!$X$3)^Konstanten!$F$18)&lt;1,BM21,BM21*Konstanten!$A$18*(Massenstromrechnung!$Y$6^Konstanten!$B$18*(Massenstromrechnung!$X$4-(Iteration!BK21+Massenstromrechnung!$X$3)/2)^Konstanten!$C$18*BM21^Konstanten!$D$18*((Massenstromrechnung!$X$3+Iteration!BK21)/2)^Konstanten!$E$18+(Iteration!BK21-Massenstromrechnung!$X$3)^Konstanten!$F$18))))</f>
        <v>662.13897187189116</v>
      </c>
      <c r="BO21" s="101"/>
      <c r="BP21">
        <f t="shared" si="10"/>
        <v>1480</v>
      </c>
      <c r="BQ21">
        <f t="shared" si="10"/>
        <v>315</v>
      </c>
      <c r="BR21" s="103">
        <f>Massenstromrechnung!$X$3+2</f>
        <v>9</v>
      </c>
      <c r="BS21" s="103" t="str">
        <f>IF(OR(Massenstromrechnung!$Y$6&lt;(BR21*50+Massenstromrechnung!$X$3)/51,(Massenstromrechnung!$Y$6-(BR21*51+Massenstromrechnung!$X$3)/51)&lt;0.7),"trocken","feucht")</f>
        <v>feucht</v>
      </c>
      <c r="BT21" s="104">
        <f>(Massenstromrechnung!$X$4-(Massenstromrechnung!$X$3+BR21)/2)^Konstanten!$E$7*$AK21*$AL21^Konstanten!$F$7*(BR21-Massenstromrechnung!$X$3)^Konstanten!$G$7*((Massenstromrechnung!$X$3+BR21)/2)^Konstanten!$H$7*(Konstanten!$C$7-(BR21-Massenstromrechnung!$X$3)^Konstanten!$I$7*Konstanten!$D$7)</f>
        <v>477.58723965750022</v>
      </c>
      <c r="BU21" s="104">
        <f>IF(BS21="trocken",BT21,IF(Konstanten!$A$18*(Massenstromrechnung!$Y$6^Konstanten!$B$18*(Massenstromrechnung!$X$4-(Iteration!BR21+Massenstromrechnung!$X$3)/2)^Konstanten!$C$18*BT21^Konstanten!$D$18*((Massenstromrechnung!$X$3+Iteration!BR21)/2)^Konstanten!$E$18+(Iteration!BR21-Massenstromrechnung!$X$3)^Konstanten!$F$18)&lt;1,BT21,BT21*Konstanten!$A$18*(Massenstromrechnung!$Y$6^Konstanten!$B$18*(Massenstromrechnung!$X$4-(Iteration!BR21+Massenstromrechnung!$X$3)/2)^Konstanten!$C$18*BT21^Konstanten!$D$18*((Massenstromrechnung!$X$3+Iteration!BR21)/2)^Konstanten!$E$18+(Iteration!BR21-Massenstromrechnung!$X$3)^Konstanten!$F$18)))</f>
        <v>730.44930146041418</v>
      </c>
      <c r="BV21" s="101">
        <f>BU21/(Massenstromrechnung!$AA31*Konstanten!$K$3/3.6)+Massenstromrechnung!$X$3</f>
        <v>13.889353123944694</v>
      </c>
      <c r="BW21" s="103" t="str">
        <f>IF(OR(Massenstromrechnung!$Y$6&lt;(BV21*50+Massenstromrechnung!$X$3)/51,(Massenstromrechnung!$Y$6-(BV21*51+Massenstromrechnung!$X$3)/51)&lt;0.7),"trocken","feucht")</f>
        <v>feucht</v>
      </c>
      <c r="BX21" s="104">
        <f>(Massenstromrechnung!$X$4-(Massenstromrechnung!$X$3+BV21)/2)^Konstanten!$E$7*$AK21*$AL21^Konstanten!$F$7*(BV21-Massenstromrechnung!$X$3)^Konstanten!$G$7*((Massenstromrechnung!$X$3+BV21)/2)^Konstanten!$H$7*(Konstanten!$C$7-(BV21-Massenstromrechnung!$X$3)^Konstanten!$I$7*Konstanten!$D$7)</f>
        <v>341.49617063414024</v>
      </c>
      <c r="BY21" s="104">
        <f>IF(BW21="trocken",BX21,IF(Konstanten!$A$18*(Massenstromrechnung!$Y$6^Konstanten!$B$18*(Massenstromrechnung!$X$4-(Iteration!BV21+Massenstromrechnung!$X$3)/2)^Konstanten!$C$18*BX21^Konstanten!$D$18*((Massenstromrechnung!$X$3+Iteration!BV21)/2)^Konstanten!$E$18+(Iteration!BV21-Massenstromrechnung!$X$3)^Konstanten!$F$18)&lt;1,BX21,BX21*Konstanten!$A$18*(Massenstromrechnung!$Y$6^Konstanten!$B$18*(Massenstromrechnung!$X$4-(Iteration!BV21+Massenstromrechnung!$X$3)/2)^Konstanten!$C$18*BX21^Konstanten!$D$18*((Massenstromrechnung!$X$3+Iteration!BV21)/2)^Konstanten!$E$18+(Iteration!BV21-Massenstromrechnung!$X$3)^Konstanten!$F$18)))</f>
        <v>458.11162586280795</v>
      </c>
      <c r="BZ21" s="101">
        <f>BY21/(Massenstromrechnung!$AA31*Konstanten!$K$3/3.6)+Massenstromrechnung!$X$3</f>
        <v>11.320755395950446</v>
      </c>
      <c r="CA21" s="103" t="str">
        <f>IF(OR(Massenstromrechnung!$Y$6&lt;(BZ21*50+Massenstromrechnung!$X$3)/51,(Massenstromrechnung!$Y$6-(BZ21*51+Massenstromrechnung!$X$3)/51)&lt;0.7),"trocken","feucht")</f>
        <v>feucht</v>
      </c>
      <c r="CB21" s="104">
        <f>(Massenstromrechnung!$X$4-(Massenstromrechnung!$X$3+BZ21)/2)^Konstanten!$E$7*$AK21*$AL21^Konstanten!$F$7*(BZ21-Massenstromrechnung!$X$3)^Konstanten!$G$7*((Massenstromrechnung!$X$3+BZ21)/2)^Konstanten!$H$7*(Konstanten!$C$7-(BZ21-Massenstromrechnung!$X$3)^Konstanten!$I$7*Konstanten!$D$7)</f>
        <v>396.37549110438709</v>
      </c>
      <c r="CC21" s="104">
        <f>IF(CA21="trocken",CB21,IF(Konstanten!$A$18*(Massenstromrechnung!$Y$6^Konstanten!$B$18*(Massenstromrechnung!$X$4-(Iteration!BZ21+Massenstromrechnung!$X$3)/2)^Konstanten!$C$18*CB21^Konstanten!$D$18*((Massenstromrechnung!$X$3+Iteration!BZ21)/2)^Konstanten!$E$18+(Iteration!BZ21-Massenstromrechnung!$X$3)^Konstanten!$F$18)&lt;1,CB21,CB21*Konstanten!$A$18*(Massenstromrechnung!$Y$6^Konstanten!$B$18*(Massenstromrechnung!$X$4-(Iteration!BZ21+Massenstromrechnung!$X$3)/2)^Konstanten!$C$18*CB21^Konstanten!$D$18*((Massenstromrechnung!$X$3+Iteration!BZ21)/2)^Konstanten!$E$18+(Iteration!BZ21-Massenstromrechnung!$X$3)^Konstanten!$F$18)))</f>
        <v>562.42859688716885</v>
      </c>
      <c r="CD21" s="101">
        <f>CC21/(Massenstromrechnung!$AA31*Konstanten!$K$3/3.6)+Massenstromrechnung!$X$3</f>
        <v>12.304638122335771</v>
      </c>
      <c r="CE21" s="103" t="str">
        <f>IF(OR(Massenstromrechnung!$Y$6&lt;(CD21*50+Massenstromrechnung!$X$3)/51,(Massenstromrechnung!$Y$6-(CD21*51+Massenstromrechnung!$X$3)/51)&lt;0.7),"trocken","feucht")</f>
        <v>feucht</v>
      </c>
      <c r="CF21" s="104">
        <f>(Massenstromrechnung!$X$4-(Massenstromrechnung!$X$3+CD21)/2)^Konstanten!$E$7*$AK21*$AL21^Konstanten!$F$7*(CD21-Massenstromrechnung!$X$3)^Konstanten!$G$7*((Massenstromrechnung!$X$3+CD21)/2)^Konstanten!$H$7*(Konstanten!$C$7-(CD21-Massenstromrechnung!$X$3)^Konstanten!$I$7*Konstanten!$D$7)</f>
        <v>373.03325444929015</v>
      </c>
      <c r="CG21" s="104">
        <f>IF(CE21="trocken",CF21,IF(Konstanten!$A$18*(Massenstromrechnung!$Y$6^Konstanten!$B$18*(Massenstromrechnung!$X$4-(Iteration!CD21+Massenstromrechnung!$X$3)/2)^Konstanten!$C$18*CF21^Konstanten!$D$18*((Massenstromrechnung!$X$3+Iteration!CD21)/2)^Konstanten!$E$18+(Iteration!CD21-Massenstromrechnung!$X$3)^Konstanten!$F$18)&lt;1,CF21,CF21*Konstanten!$A$18*(Massenstromrechnung!$Y$6^Konstanten!$B$18*(Massenstromrechnung!$X$4-(Iteration!CD21+Massenstromrechnung!$X$3)/2)^Konstanten!$C$18*CF21^Konstanten!$D$18*((Massenstromrechnung!$X$3+Iteration!CD21)/2)^Konstanten!$E$18+(Iteration!CD21-Massenstromrechnung!$X$3)^Konstanten!$F$18)))</f>
        <v>516.96039821325871</v>
      </c>
      <c r="CH21" s="101">
        <f>CG21/(Massenstromrechnung!$AA31*Konstanten!$K$3/3.6)+Massenstromrechnung!$X$3</f>
        <v>11.875797303475441</v>
      </c>
      <c r="CI21" s="103" t="str">
        <f>IF(OR(Massenstromrechnung!$Y$6&lt;(CH21*50+Massenstromrechnung!$X$3)/51,(Massenstromrechnung!$Y$6-(CH21*51+Massenstromrechnung!$X$3)/51)&lt;0.7),"trocken","feucht")</f>
        <v>feucht</v>
      </c>
      <c r="CJ21" s="104">
        <f>(Massenstromrechnung!$X$4-(Massenstromrechnung!$X$3+CH21)/2)^Konstanten!$E$7*$AK21*$AL21^Konstanten!$F$7*(CH21-Massenstromrechnung!$X$3)^Konstanten!$G$7*((Massenstromrechnung!$X$3+CH21)/2)^Konstanten!$H$7*(Konstanten!$C$7-(CH21-Massenstromrechnung!$X$3)^Konstanten!$I$7*Konstanten!$D$7)</f>
        <v>382.75402270310343</v>
      </c>
      <c r="CK21" s="104">
        <f>IF(CI21="trocken",CJ21,IF(Konstanten!$A$18*(Massenstromrechnung!$Y$6^Konstanten!$B$18*(Massenstromrechnung!$X$4-(Iteration!CH21+Massenstromrechnung!$X$3)/2)^Konstanten!$C$18*CJ21^Konstanten!$D$18*((Massenstromrechnung!$X$3+Iteration!CH21)/2)^Konstanten!$E$18+(Iteration!CH21-Massenstromrechnung!$X$3)^Konstanten!$F$18)&lt;1,CJ21,CJ21*Konstanten!$A$18*(Massenstromrechnung!$Y$6^Konstanten!$B$18*(Massenstromrechnung!$X$4-(Iteration!CH21+Massenstromrechnung!$X$3)/2)^Konstanten!$C$18*CJ21^Konstanten!$D$18*((Massenstromrechnung!$X$3+Iteration!CH21)/2)^Konstanten!$E$18+(Iteration!CH21-Massenstromrechnung!$X$3)^Konstanten!$F$18)))</f>
        <v>535.71442448449375</v>
      </c>
      <c r="CL21" s="101">
        <f>CK21/(Massenstromrechnung!$AA31*Konstanten!$K$3/3.6)+Massenstromrechnung!$X$3</f>
        <v>12.052678997002909</v>
      </c>
      <c r="CM21" s="103" t="str">
        <f>IF(OR(Massenstromrechnung!$Y$6&lt;(CL21*50+Massenstromrechnung!$X$3)/51,(Massenstromrechnung!$Y$6-(CL21*51+Massenstromrechnung!$X$3)/51)&lt;0.7),"trocken","feucht")</f>
        <v>feucht</v>
      </c>
      <c r="CN21" s="104">
        <f>(Massenstromrechnung!$X$4-(Massenstromrechnung!$X$3+CL21)/2)^Konstanten!$E$7*$AK21*$AL21^Konstanten!$F$7*(CL21-Massenstromrechnung!$X$3)^Konstanten!$G$7*((Massenstromrechnung!$X$3+CL21)/2)^Konstanten!$H$7*(Konstanten!$C$7-(CL21-Massenstromrechnung!$X$3)^Konstanten!$I$7*Konstanten!$D$7)</f>
        <v>378.66830155633443</v>
      </c>
      <c r="CO21" s="104">
        <f>IF(CM21="trocken",CN21,IF(Konstanten!$A$18*(Massenstromrechnung!$Y$6^Konstanten!$B$18*(Massenstromrechnung!$X$4-(Iteration!CL21+Massenstromrechnung!$X$3)/2)^Konstanten!$C$18*CN21^Konstanten!$D$18*((Massenstromrechnung!$X$3+Iteration!CL21)/2)^Konstanten!$E$18+(Iteration!CL21-Massenstromrechnung!$X$3)^Konstanten!$F$18)&lt;1,CN21,CN21*Konstanten!$A$18*(Massenstromrechnung!$Y$6^Konstanten!$B$18*(Massenstromrechnung!$X$4-(Iteration!CL21+Massenstromrechnung!$X$3)/2)^Konstanten!$C$18*CN21^Konstanten!$D$18*((Massenstromrechnung!$X$3+Iteration!CL21)/2)^Konstanten!$E$18+(Iteration!CL21-Massenstromrechnung!$X$3)^Konstanten!$F$18)))</f>
        <v>527.79924489166615</v>
      </c>
      <c r="CP21" s="101">
        <f>IF(CO21/(Massenstromrechnung!$AA31*Konstanten!$K$3/3.6)+Massenstromrechnung!$X$3-Massenstromrechnung!$X$3&lt;1.4,"RLT zu niedrig",CO21/(Massenstromrechnung!$AA31*Konstanten!$K$3/3.6)+Massenstromrechnung!$X$3)</f>
        <v>11.978025674526721</v>
      </c>
      <c r="CQ21" s="103" t="str">
        <f>IF(CP21="RLT zu niedrig","RLT zu niedrig",IF(OR(Massenstromrechnung!$Y$6&lt;(CP21*50+Massenstromrechnung!$X$3)/51,(Massenstromrechnung!$Y$6-(CP21*51+Massenstromrechnung!$X$3)/51)&lt;0.7),"trocken","feucht"))</f>
        <v>feucht</v>
      </c>
      <c r="CR21" s="104">
        <f>IF(CP21="RLT zu niedrig","RLT zu niedrig",(Massenstromrechnung!$X$4-(Massenstromrechnung!$X$3+CP21)/2)^Konstanten!$E$7*$AK21*$AL21^Konstanten!$F$7*(CP21-Massenstromrechnung!$X$3)^Konstanten!$G$7*((Massenstromrechnung!$X$3+CP21)/2)^Konstanten!$H$7*(Konstanten!$C$7-(CP21-Massenstromrechnung!$X$3)^Konstanten!$I$7*Konstanten!$D$7))</f>
        <v>380.37904146553547</v>
      </c>
      <c r="CS21" s="104">
        <f>IF(CP21="RLT zu niedrig","RLT zu niedrig",IF(CQ21="trocken",CR21,IF(Konstanten!$A$18*(Massenstromrechnung!$Y$6^Konstanten!$B$18*(Massenstromrechnung!$X$4-(Iteration!CP21+Massenstromrechnung!$X$3)/2)^Konstanten!$C$18*CR21^Konstanten!$D$18*((Massenstromrechnung!$X$3+Iteration!CP21)/2)^Konstanten!$E$18+(Iteration!CP21-Massenstromrechnung!$X$3)^Konstanten!$F$18)&lt;1,CR21,CR21*Konstanten!$A$18*(Massenstromrechnung!$Y$6^Konstanten!$B$18*(Massenstromrechnung!$X$4-(Iteration!CP21+Massenstromrechnung!$X$3)/2)^Konstanten!$C$18*CR21^Konstanten!$D$18*((Massenstromrechnung!$X$3+Iteration!CP21)/2)^Konstanten!$E$18+(Iteration!CP21-Massenstromrechnung!$X$3)^Konstanten!$F$18))))</f>
        <v>531.10774458978165</v>
      </c>
    </row>
    <row r="22" spans="1:97" x14ac:dyDescent="0.3">
      <c r="A22">
        <f>Massenstromrechnung!B32</f>
        <v>1890</v>
      </c>
      <c r="B22" s="53">
        <v>1205</v>
      </c>
      <c r="C22" s="103">
        <f>IF(Massenstromrechnung!$K$3-10&lt;=Massenstromrechnung!$K$4,Massenstromrechnung!$K$3-0.75*(Massenstromrechnung!$K$3-Massenstromrechnung!$K$4),Massenstromrechnung!$K$3-10)</f>
        <v>65</v>
      </c>
      <c r="D22" s="103">
        <f>-1*((Massenstromrechnung!$K$3+C22)/2-Massenstromrechnung!$K$4)^Konstanten!$E$4*Massenstromrechnung!$B32*Massenstromrechnung!$C32^Konstanten!$F$4*(Massenstromrechnung!$K$3-C22)^Konstanten!$G$4*((Massenstromrechnung!$K$3+C22)/2)^Konstanten!$H$4*(Konstanten!$C$4-((Massenstromrechnung!$K$3-C22)^Konstanten!$I$4*Konstanten!$D$4))/(Massenstromrechnung!$F32*Konstanten!$K$3/3.6)+Massenstromrechnung!$K$3</f>
        <v>65</v>
      </c>
      <c r="E22" s="103">
        <f t="shared" si="6"/>
        <v>65</v>
      </c>
      <c r="F22" s="103">
        <f>-1*((Massenstromrechnung!$K$3+E22)/2-Massenstromrechnung!$K$4)^Konstanten!$E$4*Massenstromrechnung!$B32*Massenstromrechnung!$C32^Konstanten!$F$4*(Massenstromrechnung!$K$3-E22)^Konstanten!$G$4*((Massenstromrechnung!$K$3+E22)/2)^Konstanten!$H$4*(Konstanten!$C$4-((Massenstromrechnung!$K$3-E22)^Konstanten!$I$4*Konstanten!$D$4))/(Massenstromrechnung!$F32*Konstanten!$K$3/3.6)+Massenstromrechnung!$K$3</f>
        <v>65</v>
      </c>
      <c r="G22" s="103">
        <f t="shared" si="0"/>
        <v>65</v>
      </c>
      <c r="H22" s="103">
        <f>-1*((Massenstromrechnung!$K$3+G22)/2-Massenstromrechnung!$K$4)^Konstanten!$E$4*Massenstromrechnung!$B32*Massenstromrechnung!$C32^Konstanten!$F$4*(Massenstromrechnung!$K$3-G22)^Konstanten!$G$4*((Massenstromrechnung!$K$3+G22)/2)^Konstanten!$H$4*(Konstanten!$C$4-((Massenstromrechnung!$K$3-G22)^Konstanten!$I$4*Konstanten!$D$4))/(Massenstromrechnung!$F32*Konstanten!$K$3/3.6)+Massenstromrechnung!$K$3</f>
        <v>65</v>
      </c>
      <c r="I22" s="103">
        <f t="shared" si="1"/>
        <v>65</v>
      </c>
      <c r="J22" s="103">
        <f>-1*((Massenstromrechnung!$K$3+I22)/2-Massenstromrechnung!$K$4)^Konstanten!$E$4*Massenstromrechnung!$B32*Massenstromrechnung!$C32^Konstanten!$F$4*(Massenstromrechnung!$K$3-I22)^Konstanten!$G$4*((Massenstromrechnung!$K$3+I22)/2)^Konstanten!$H$4*(Konstanten!$C$4-((Massenstromrechnung!$K$3-I22)^Konstanten!$I$4*Konstanten!$D$4))/(Massenstromrechnung!$F32*Konstanten!$K$3/3.6)+Massenstromrechnung!$K$3</f>
        <v>65</v>
      </c>
      <c r="K22" s="103">
        <f t="shared" si="2"/>
        <v>65</v>
      </c>
      <c r="L22" s="103">
        <f>-1*((Massenstromrechnung!$K$3+K22)/2-Massenstromrechnung!$K$4)^Konstanten!$E$4*Massenstromrechnung!$B32*Massenstromrechnung!$C32^Konstanten!$F$4*(Massenstromrechnung!$K$3-K22)^Konstanten!$G$4*((Massenstromrechnung!$K$3+K22)/2)^Konstanten!$H$4*(Konstanten!$C$4-((Massenstromrechnung!$K$3-K22)^Konstanten!$I$4*Konstanten!$D$4))/(Massenstromrechnung!$F32*Konstanten!$K$3/3.6)+Massenstromrechnung!$K$3</f>
        <v>65</v>
      </c>
      <c r="N22">
        <f>'Katalogdaten M3G045'!B36</f>
        <v>1890</v>
      </c>
      <c r="O22" s="53">
        <v>1205</v>
      </c>
      <c r="P22" s="103">
        <f>IF(Massenstromrechnung!$K$3-10&lt;=Massenstromrechnung!$K$4,Massenstromrechnung!$K$3-0.75*(Massenstromrechnung!$K$3-Massenstromrechnung!$K$4),Massenstromrechnung!$K$3-10)</f>
        <v>65</v>
      </c>
      <c r="Q22" s="103" t="e">
        <f>-1*((Massenstromrechnung!$K$3+P22)/2-Massenstromrechnung!$K$4)^Konstanten!$E$4*Massenstromrechnung!$B32*Massenstromrechnung!$C32^Konstanten!$F$4*(Massenstromrechnung!$K$3-P22)^Konstanten!$G$4*((Massenstromrechnung!$K$3+P22)/2)^Konstanten!$H$4*(Konstanten!$C$4-((Massenstromrechnung!$K$3-P22)^Konstanten!$I$4*Konstanten!$D$4))/(Massenstromrechnung!#REF!*Konstanten!$K$3/3.6)+Massenstromrechnung!$K$3</f>
        <v>#REF!</v>
      </c>
      <c r="R22" s="103" t="e">
        <f t="shared" si="7"/>
        <v>#REF!</v>
      </c>
      <c r="S22" s="103" t="e">
        <f>-1*((Massenstromrechnung!$K$3+R22)/2-Massenstromrechnung!$K$4)^Konstanten!$E$4*Massenstromrechnung!$B32*Massenstromrechnung!$C32^Konstanten!$F$4*(Massenstromrechnung!$K$3-R22)^Konstanten!$G$4*((Massenstromrechnung!$K$3+R22)/2)^Konstanten!$H$4*(Konstanten!$C$4-((Massenstromrechnung!$K$3-R22)^Konstanten!$I$4*Konstanten!$D$4))/(Massenstromrechnung!#REF!*Konstanten!$K$3/3.6)+Massenstromrechnung!$K$3</f>
        <v>#REF!</v>
      </c>
      <c r="T22" s="103" t="e">
        <f t="shared" si="3"/>
        <v>#REF!</v>
      </c>
      <c r="U22" s="103" t="e">
        <f>-1*((Massenstromrechnung!$K$3+T22)/2-Massenstromrechnung!$K$4)^Konstanten!$E$4*Massenstromrechnung!$B32*Massenstromrechnung!$C32^Konstanten!$F$4*(Massenstromrechnung!$K$3-T22)^Konstanten!$G$4*((Massenstromrechnung!$K$3+T22)/2)^Konstanten!$H$4*(Konstanten!$C$4-((Massenstromrechnung!$K$3-T22)^Konstanten!$I$4*Konstanten!$D$4))/(Massenstromrechnung!#REF!*Konstanten!$K$3/3.6)+Massenstromrechnung!$K$3</f>
        <v>#REF!</v>
      </c>
      <c r="V22" s="103" t="e">
        <f t="shared" si="4"/>
        <v>#REF!</v>
      </c>
      <c r="W22" s="103" t="e">
        <f>-1*((Massenstromrechnung!$K$3+V22)/2-Massenstromrechnung!$K$4)^Konstanten!$E$4*Massenstromrechnung!$B32*Massenstromrechnung!$C32^Konstanten!$F$4*(Massenstromrechnung!$K$3-V22)^Konstanten!$G$4*((Massenstromrechnung!$K$3+V22)/2)^Konstanten!$H$4*(Konstanten!$C$4-((Massenstromrechnung!$K$3-V22)^Konstanten!$I$4*Konstanten!$D$4))/(Massenstromrechnung!#REF!*Konstanten!$K$3/3.6)+Massenstromrechnung!$K$3</f>
        <v>#REF!</v>
      </c>
      <c r="X22" s="103" t="e">
        <f t="shared" si="5"/>
        <v>#REF!</v>
      </c>
      <c r="Y22" s="103" t="e">
        <f>-1*((Massenstromrechnung!$K$3+X22)/2-Massenstromrechnung!$K$4)^Konstanten!$E$4*Massenstromrechnung!$B32*Massenstromrechnung!$C32^Konstanten!$F$4*(Massenstromrechnung!$K$3-X22)^Konstanten!$G$4*((Massenstromrechnung!$K$3+X22)/2)^Konstanten!$H$4*(Konstanten!$C$4-((Massenstromrechnung!$K$3-X22)^Konstanten!$I$4*Konstanten!$D$4))/(Massenstromrechnung!#REF!*Konstanten!$K$3/3.6)+Massenstromrechnung!$K$3</f>
        <v>#REF!</v>
      </c>
      <c r="AA22">
        <f t="shared" si="8"/>
        <v>1890</v>
      </c>
      <c r="AB22">
        <f t="shared" si="8"/>
        <v>1205</v>
      </c>
      <c r="AC22" s="103">
        <f>IF(Massenstromrechnung!$K$3-10&lt;=Massenstromrechnung!$K$4,Massenstromrechnung!$K$3-0.75*(Massenstromrechnung!$K$3-Massenstromrechnung!$K$4),Massenstromrechnung!$K$3-10)</f>
        <v>65</v>
      </c>
      <c r="AD22" s="103">
        <f>-1*((Massenstromrechnung!$K$3+AC22)/2-Massenstromrechnung!$K$4)^Konstanten!$E$5*$AA22*$AB22^Konstanten!$F$5*(Massenstromrechnung!$K$3-AC22)^Konstanten!$G$5*((Massenstromrechnung!$K$3+AC22)/2)^Konstanten!$H$5*(Konstanten!$C$5-((Massenstromrechnung!$K$3-AC22)^Konstanten!$I$5*Konstanten!$D$5))/(Massenstromrechnung!$L32*Konstanten!$K$3/3.6)+Massenstromrechnung!$K$3</f>
        <v>65</v>
      </c>
      <c r="AE22" s="103">
        <f>-1*((Massenstromrechnung!$K$3+AD22)/2-Massenstromrechnung!$K$4)^Konstanten!$E$5*$AA22*$AB22^Konstanten!$F$5*(Massenstromrechnung!$K$3-AD22)^Konstanten!$G$5*((Massenstromrechnung!$K$3+AD22)/2)^Konstanten!$H$5*(Konstanten!$C$5-((Massenstromrechnung!$K$3-AD22)^Konstanten!$I$5*Konstanten!$D$5))/(Massenstromrechnung!$L32*Konstanten!$K$3/3.6)+Massenstromrechnung!$K$3</f>
        <v>65</v>
      </c>
      <c r="AF22" s="103">
        <f>-1*((Massenstromrechnung!$K$3+AE22)/2-Massenstromrechnung!$K$4)^Konstanten!$E$5*$AA22*$AB22^Konstanten!$F$5*(Massenstromrechnung!$K$3-AE22)^Konstanten!$G$5*((Massenstromrechnung!$K$3+AE22)/2)^Konstanten!$H$5*(Konstanten!$C$5-((Massenstromrechnung!$K$3-AE22)^Konstanten!$I$5*Konstanten!$D$5))/(Massenstromrechnung!$L32*Konstanten!$K$3/3.6)+Massenstromrechnung!$K$3</f>
        <v>65</v>
      </c>
      <c r="AG22" s="103">
        <f>-1*((Massenstromrechnung!$K$3+AF22)/2-Massenstromrechnung!$K$4)^Konstanten!$E$5*$AA22*$AB22^Konstanten!$F$5*(Massenstromrechnung!$K$3-AF22)^Konstanten!$G$5*((Massenstromrechnung!$K$3+AF22)/2)^Konstanten!$H$5*(Konstanten!$C$5-((Massenstromrechnung!$K$3-AF22)^Konstanten!$I$5*Konstanten!$D$5))/(Massenstromrechnung!$L32*Konstanten!$K$3/3.6)+Massenstromrechnung!$K$3</f>
        <v>65</v>
      </c>
      <c r="AH22" s="103">
        <f>-1*((Massenstromrechnung!$K$3+AG22)/2-Massenstromrechnung!$K$4)^Konstanten!$E$5*$AA22*$AB22^Konstanten!$F$5*(Massenstromrechnung!$K$3-AG22)^Konstanten!$G$5*((Massenstromrechnung!$K$3+AG22)/2)^Konstanten!$H$5*(Konstanten!$C$5-((Massenstromrechnung!$K$3-AG22)^Konstanten!$I$5*Konstanten!$D$5))/(Massenstromrechnung!$L32*Konstanten!$K$3/3.6)+Massenstromrechnung!$K$3</f>
        <v>65</v>
      </c>
      <c r="AI22" s="103">
        <f>-1*((Massenstromrechnung!$K$3+AH22)/2-Massenstromrechnung!$K$4)^Konstanten!$E$5*$AA22*$AB22^Konstanten!$F$5*(Massenstromrechnung!$K$3-AH22)^Konstanten!$G$5*((Massenstromrechnung!$K$3+AH22)/2)^Konstanten!$H$5*(Konstanten!$C$5-((Massenstromrechnung!$K$3-AH22)^Konstanten!$I$5*Konstanten!$D$5))/(Massenstromrechnung!$L32*Konstanten!$K$3/3.6)+Massenstromrechnung!$K$3</f>
        <v>65</v>
      </c>
      <c r="AK22">
        <f t="shared" si="9"/>
        <v>1890</v>
      </c>
      <c r="AL22">
        <f t="shared" si="9"/>
        <v>1205</v>
      </c>
      <c r="AM22" s="103">
        <f>Massenstromrechnung!$X$3+2</f>
        <v>9</v>
      </c>
      <c r="AN22" s="103" t="str">
        <f>IF(OR(Massenstromrechnung!$Y$6&lt;(AM22*50+Massenstromrechnung!$X$3)/51,(Massenstromrechnung!$Y$6-(AM22*51+Massenstromrechnung!$X$3)/51)&lt;0.7),"trocken","feucht")</f>
        <v>feucht</v>
      </c>
      <c r="AO22" s="104">
        <f>(Massenstromrechnung!$X$4-(Massenstromrechnung!$X$3+AM22)/2)^Konstanten!$E$6*$AK22*$AL22^Konstanten!$F$6*(AM22-Massenstromrechnung!$X$3)^Konstanten!$G$6*((Massenstromrechnung!$X$3+AM22)/2)^Konstanten!$H$6*(Konstanten!$C$6-(AM22-Massenstromrechnung!$X$3)^Konstanten!$I$6*Konstanten!$D$6)</f>
        <v>3891.4854552765814</v>
      </c>
      <c r="AP22" s="104">
        <f>IF(AN22="trocken",AO22,IF(Konstanten!$A$18*(Massenstromrechnung!$Y$6^Konstanten!$B$18*(Massenstromrechnung!$X$4-(Iteration!AM22+Massenstromrechnung!$X$3)/2)^Konstanten!$C$18*AO22^Konstanten!$D$18*((Massenstromrechnung!$X$3+Iteration!AM22)/2)^Konstanten!$E$18+(Iteration!AM22-Massenstromrechnung!$X$3)^Konstanten!$F$18)&lt;1,AO22,AO22*Konstanten!$A$18*(Massenstromrechnung!$Y$6^Konstanten!$B$18*(Massenstromrechnung!$X$4-(Iteration!AM22+Massenstromrechnung!$X$3)/2)^Konstanten!$C$18*AO22^Konstanten!$D$18*((Massenstromrechnung!$X$3+Iteration!AM22)/2)^Konstanten!$E$18+(Iteration!AM22-Massenstromrechnung!$X$3)^Konstanten!$F$18)))</f>
        <v>5601.3235332493859</v>
      </c>
      <c r="AQ22" s="101">
        <f>AP22/(Massenstromrechnung!$R32*Konstanten!$K$3/3.6)+Massenstromrechnung!$X$3</f>
        <v>13.223480878484027</v>
      </c>
      <c r="AR22" s="103" t="str">
        <f>IF(OR(Massenstromrechnung!$Y$6&lt;(AQ22*50+Massenstromrechnung!$X$3)/51,(Massenstromrechnung!$Y$6-(AQ22*51+Massenstromrechnung!$X$3)/51)&lt;0.7),"trocken","feucht")</f>
        <v>feucht</v>
      </c>
      <c r="AS22" s="104">
        <f>(Massenstromrechnung!$X$4-(Massenstromrechnung!$X$3+AQ22)/2)^Konstanten!$E$6*$AK22*$AL22^Konstanten!$F$6*(AQ22-Massenstromrechnung!$X$3)^Konstanten!$G$6*((Massenstromrechnung!$X$3+AQ22)/2)^Konstanten!$H$6*(Konstanten!$C$6-(AQ22-Massenstromrechnung!$X$3)^Konstanten!$I$6*Konstanten!$D$6)</f>
        <v>3250.4199270927325</v>
      </c>
      <c r="AT22" s="104">
        <f>IF(AR22="trocken",AS22,IF(Konstanten!$A$18*(Massenstromrechnung!$Y$6^Konstanten!$B$18*(Massenstromrechnung!$X$4-(Iteration!AQ22+Massenstromrechnung!$X$3)/2)^Konstanten!$C$18*AS22^Konstanten!$D$18*((Massenstromrechnung!$X$3+Iteration!AQ22)/2)^Konstanten!$E$18+(Iteration!AQ22-Massenstromrechnung!$X$3)^Konstanten!$F$18)&lt;1,AS22,AS22*Konstanten!$A$18*(Massenstromrechnung!$Y$6^Konstanten!$B$18*(Massenstromrechnung!$X$4-(Iteration!AQ22+Massenstromrechnung!$X$3)/2)^Konstanten!$C$18*AS22^Konstanten!$D$18*((Massenstromrechnung!$X$3+Iteration!AQ22)/2)^Konstanten!$E$18+(Iteration!AQ22-Massenstromrechnung!$X$3)^Konstanten!$F$18)))</f>
        <v>4133.7899673987622</v>
      </c>
      <c r="AU22" s="101">
        <f>AT22/(Massenstromrechnung!$R32*Konstanten!$K$3/3.6)+Massenstromrechnung!$X$3</f>
        <v>11.592943554333678</v>
      </c>
      <c r="AV22" s="103" t="str">
        <f>IF(OR(Massenstromrechnung!$Y$6&lt;(AU22*50+Massenstromrechnung!$X$3)/51,(Massenstromrechnung!$Y$6-(AU22*51+Massenstromrechnung!$X$3)/51)&lt;0.7),"trocken","feucht")</f>
        <v>feucht</v>
      </c>
      <c r="AW22" s="104">
        <f>(Massenstromrechnung!$X$4-(Massenstromrechnung!$X$3+AU22)/2)^Konstanten!$E$6*$AK22*$AL22^Konstanten!$F$6*(AU22-Massenstromrechnung!$X$3)^Konstanten!$G$6*((Massenstromrechnung!$X$3+AU22)/2)^Konstanten!$H$6*(Konstanten!$C$6-(AU22-Massenstromrechnung!$X$3)^Konstanten!$I$6*Konstanten!$D$6)</f>
        <v>3510.401020587532</v>
      </c>
      <c r="AX22" s="104">
        <f>IF(AV22="trocken",AW22,IF(Konstanten!$A$18*(Massenstromrechnung!$Y$6^Konstanten!$B$18*(Massenstromrechnung!$X$4-(Iteration!AU22+Massenstromrechnung!$X$3)/2)^Konstanten!$C$18*AW22^Konstanten!$D$18*((Massenstromrechnung!$X$3+Iteration!AU22)/2)^Konstanten!$E$18+(Iteration!AU22-Massenstromrechnung!$X$3)^Konstanten!$F$18)&lt;1,AW22,AW22*Konstanten!$A$18*(Massenstromrechnung!$Y$6^Konstanten!$B$18*(Massenstromrechnung!$X$4-(Iteration!AU22+Massenstromrechnung!$X$3)/2)^Konstanten!$C$18*AW22^Konstanten!$D$18*((Massenstromrechnung!$X$3+Iteration!AU22)/2)^Konstanten!$E$18+(Iteration!AU22-Massenstromrechnung!$X$3)^Konstanten!$F$18)))</f>
        <v>4634.186471382005</v>
      </c>
      <c r="AY22" s="101">
        <f>AX22/(Massenstromrechnung!$R32*Konstanten!$K$3/3.6)+Massenstromrechnung!$X$3</f>
        <v>12.148920736461093</v>
      </c>
      <c r="AZ22" s="103" t="str">
        <f>IF(OR(Massenstromrechnung!$Y$6&lt;(AY22*50+Massenstromrechnung!$X$3)/51,(Massenstromrechnung!$Y$6-(AY22*51+Massenstromrechnung!$X$3)/51)&lt;0.7),"trocken","feucht")</f>
        <v>feucht</v>
      </c>
      <c r="BA22" s="104">
        <f>(Massenstromrechnung!$X$4-(Massenstromrechnung!$X$3+AY22)/2)^Konstanten!$E$6*$AK22*$AL22^Konstanten!$F$6*(AY22-Massenstromrechnung!$X$3)^Konstanten!$G$6*((Massenstromrechnung!$X$3+AY22)/2)^Konstanten!$H$6*(Konstanten!$C$6-(AY22-Massenstromrechnung!$X$3)^Konstanten!$I$6*Konstanten!$D$6)</f>
        <v>3419.2026295404153</v>
      </c>
      <c r="BB22" s="104">
        <f>IF(AZ22="trocken",BA22,IF(Konstanten!$A$18*(Massenstromrechnung!$Y$6^Konstanten!$B$18*(Massenstromrechnung!$X$4-(Iteration!AY22+Massenstromrechnung!$X$3)/2)^Konstanten!$C$18*BA22^Konstanten!$D$18*((Massenstromrechnung!$X$3+Iteration!AY22)/2)^Konstanten!$E$18+(Iteration!AY22-Massenstromrechnung!$X$3)^Konstanten!$F$18)&lt;1,BA22,BA22*Konstanten!$A$18*(Massenstromrechnung!$Y$6^Konstanten!$B$18*(Massenstromrechnung!$X$4-(Iteration!AY22+Massenstromrechnung!$X$3)/2)^Konstanten!$C$18*BA22^Konstanten!$D$18*((Massenstromrechnung!$X$3+Iteration!AY22)/2)^Konstanten!$E$18+(Iteration!AY22-Massenstromrechnung!$X$3)^Konstanten!$F$18)))</f>
        <v>4452.7090793226471</v>
      </c>
      <c r="BC22" s="101">
        <f>BB22/(Massenstromrechnung!$R32*Konstanten!$K$3/3.6)+Massenstromrechnung!$X$3</f>
        <v>11.947286056254828</v>
      </c>
      <c r="BD22" s="103" t="str">
        <f>IF(OR(Massenstromrechnung!$Y$6&lt;(BC22*50+Massenstromrechnung!$X$3)/51,(Massenstromrechnung!$Y$6-(BC22*51+Massenstromrechnung!$X$3)/51)&lt;0.7),"trocken","feucht")</f>
        <v>feucht</v>
      </c>
      <c r="BE22" s="104">
        <f>(Massenstromrechnung!$X$4-(Massenstromrechnung!$X$3+BC22)/2)^Konstanten!$E$6*$AK22*$AL22^Konstanten!$F$6*(BC22-Massenstromrechnung!$X$3)^Konstanten!$G$6*((Massenstromrechnung!$X$3+BC22)/2)^Konstanten!$H$6*(Konstanten!$C$6-(BC22-Massenstromrechnung!$X$3)^Konstanten!$I$6*Konstanten!$D$6)</f>
        <v>3452.0050186876042</v>
      </c>
      <c r="BF22" s="104">
        <f>IF(BD22="trocken",BE22,IF(Konstanten!$A$18*(Massenstromrechnung!$Y$6^Konstanten!$B$18*(Massenstromrechnung!$X$4-(Iteration!BC22+Massenstromrechnung!$X$3)/2)^Konstanten!$C$18*BE22^Konstanten!$D$18*((Massenstromrechnung!$X$3+Iteration!BC22)/2)^Konstanten!$E$18+(Iteration!BC22-Massenstromrechnung!$X$3)^Konstanten!$F$18)&lt;1,BE22,BE22*Konstanten!$A$18*(Massenstromrechnung!$Y$6^Konstanten!$B$18*(Massenstromrechnung!$X$4-(Iteration!BC22+Massenstromrechnung!$X$3)/2)^Konstanten!$C$18*BE22^Konstanten!$D$18*((Massenstromrechnung!$X$3+Iteration!BC22)/2)^Konstanten!$E$18+(Iteration!BC22-Massenstromrechnung!$X$3)^Konstanten!$F$18)))</f>
        <v>4517.1486759702211</v>
      </c>
      <c r="BG22" s="101">
        <f>BF22/(Massenstromrechnung!$R32*Konstanten!$K$3/3.6)+Massenstromrechnung!$X$3</f>
        <v>12.018883169896423</v>
      </c>
      <c r="BH22" s="103" t="str">
        <f>IF(OR(Massenstromrechnung!$Y$6&lt;(BG22*50+Massenstromrechnung!$X$3)/51,(Massenstromrechnung!$Y$6-(BG22*51+Massenstromrechnung!$X$3)/51)&lt;0.7),"trocken","feucht")</f>
        <v>feucht</v>
      </c>
      <c r="BI22" s="104">
        <f>(Massenstromrechnung!$X$4-(Massenstromrechnung!$X$3+BG22)/2)^Konstanten!$E$6*$AK22*$AL22^Konstanten!$F$6*(BG22-Massenstromrechnung!$X$3)^Konstanten!$G$6*((Massenstromrechnung!$X$3+BG22)/2)^Konstanten!$H$6*(Konstanten!$C$6-(BG22-Massenstromrechnung!$X$3)^Konstanten!$I$6*Konstanten!$D$6)</f>
        <v>3440.3196132598041</v>
      </c>
      <c r="BJ22" s="104">
        <f>IF(BH22="trocken",BI22,IF(Konstanten!$A$18*(Massenstromrechnung!$Y$6^Konstanten!$B$18*(Massenstromrechnung!$X$4-(Iteration!BG22+Massenstromrechnung!$X$3)/2)^Konstanten!$C$18*BI22^Konstanten!$D$18*((Massenstromrechnung!$X$3+Iteration!BG22)/2)^Konstanten!$E$18+(Iteration!BG22-Massenstromrechnung!$X$3)^Konstanten!$F$18)&lt;1,BI22,BI22*Konstanten!$A$18*(Massenstromrechnung!$Y$6^Konstanten!$B$18*(Massenstromrechnung!$X$4-(Iteration!BG22+Massenstromrechnung!$X$3)/2)^Konstanten!$C$18*BI22^Konstanten!$D$18*((Massenstromrechnung!$X$3+Iteration!BG22)/2)^Konstanten!$E$18+(Iteration!BG22-Massenstromrechnung!$X$3)^Konstanten!$F$18)))</f>
        <v>4494.0909169157612</v>
      </c>
      <c r="BK22" s="101">
        <f>IF(BJ22/(Massenstromrechnung!$R32*Konstanten!$K$3/3.6)+Massenstromrechnung!$X$3-Massenstromrechnung!$X$3&lt;1.4,"RLT zu niedrig",BJ22/(Massenstromrechnung!$R32*Konstanten!$K$3/3.6)+Massenstromrechnung!$X$3)</f>
        <v>11.993264310045834</v>
      </c>
      <c r="BL22" s="103" t="str">
        <f>IF(BK22="RLT zu niedrig","RLT zu niedrig",IF(OR(Massenstromrechnung!$Y$6&lt;(BK22*50+Massenstromrechnung!$X$3)/51,(Massenstromrechnung!$Y$6-(BK22*51+Massenstromrechnung!$X$3)/51)&lt;0.7),"trocken","feucht"))</f>
        <v>feucht</v>
      </c>
      <c r="BM22" s="104">
        <f>IF(BK22="RLT zu niedrig","RLT zu niedrig",(Massenstromrechnung!$X$4-(Massenstromrechnung!$X$3+BK22)/2)^Konstanten!$E$6*$AK22*$AL22^Konstanten!$F$6*(BK22-Massenstromrechnung!$X$3)^Konstanten!$G$6*((Massenstromrechnung!$X$3+BK22)/2)^Konstanten!$H$6*(Konstanten!$C$6-(BK22-Massenstromrechnung!$X$3)^Konstanten!$I$6*Konstanten!$D$6))</f>
        <v>3444.4961860110157</v>
      </c>
      <c r="BN22" s="104">
        <f>IF(BK22="RLT zu niedrig","RLT zu niedrig",IF(BL22="trocken",BM22,IF(Konstanten!$A$18*(Massenstromrechnung!$Y$6^Konstanten!$B$18*(Massenstromrechnung!$X$4-(Iteration!BK22+Massenstromrechnung!$X$3)/2)^Konstanten!$C$18*BM22^Konstanten!$D$18*((Massenstromrechnung!$X$3+Iteration!BK22)/2)^Konstanten!$E$18+(Iteration!BK22-Massenstromrechnung!$X$3)^Konstanten!$F$18)&lt;1,BM22,BM22*Konstanten!$A$18*(Massenstromrechnung!$Y$6^Konstanten!$B$18*(Massenstromrechnung!$X$4-(Iteration!BK22+Massenstromrechnung!$X$3)/2)^Konstanten!$C$18*BM22^Konstanten!$D$18*((Massenstromrechnung!$X$3+Iteration!BK22)/2)^Konstanten!$E$18+(Iteration!BK22-Massenstromrechnung!$X$3)^Konstanten!$F$18))))</f>
        <v>4502.3189796415709</v>
      </c>
      <c r="BO22" s="101"/>
      <c r="BP22">
        <f t="shared" si="10"/>
        <v>1890</v>
      </c>
      <c r="BQ22">
        <f t="shared" si="10"/>
        <v>1205</v>
      </c>
      <c r="BR22" s="103">
        <f>Massenstromrechnung!$X$3+2</f>
        <v>9</v>
      </c>
      <c r="BS22" s="103" t="str">
        <f>IF(OR(Massenstromrechnung!$Y$6&lt;(BR22*50+Massenstromrechnung!$X$3)/51,(Massenstromrechnung!$Y$6-(BR22*51+Massenstromrechnung!$X$3)/51)&lt;0.7),"trocken","feucht")</f>
        <v>feucht</v>
      </c>
      <c r="BT22" s="104">
        <f>(Massenstromrechnung!$X$4-(Massenstromrechnung!$X$3+BR22)/2)^Konstanten!$E$7*$AK22*$AL22^Konstanten!$F$7*(BR22-Massenstromrechnung!$X$3)^Konstanten!$G$7*((Massenstromrechnung!$X$3+BR22)/2)^Konstanten!$H$7*(Konstanten!$C$7-(BR22-Massenstromrechnung!$X$3)^Konstanten!$I$7*Konstanten!$D$7)</f>
        <v>4202.0019134961603</v>
      </c>
      <c r="BU22" s="104">
        <f>IF(BS22="trocken",BT22,IF(Konstanten!$A$18*(Massenstromrechnung!$Y$6^Konstanten!$B$18*(Massenstromrechnung!$X$4-(Iteration!BR22+Massenstromrechnung!$X$3)/2)^Konstanten!$C$18*BT22^Konstanten!$D$18*((Massenstromrechnung!$X$3+Iteration!BR22)/2)^Konstanten!$E$18+(Iteration!BR22-Massenstromrechnung!$X$3)^Konstanten!$F$18)&lt;1,BT22,BT22*Konstanten!$A$18*(Massenstromrechnung!$Y$6^Konstanten!$B$18*(Massenstromrechnung!$X$4-(Iteration!BR22+Massenstromrechnung!$X$3)/2)^Konstanten!$C$18*BT22^Konstanten!$D$18*((Massenstromrechnung!$X$3+Iteration!BR22)/2)^Konstanten!$E$18+(Iteration!BR22-Massenstromrechnung!$X$3)^Konstanten!$F$18)))</f>
        <v>6034.8846946046751</v>
      </c>
      <c r="BV22" s="101">
        <f>BU22/(Massenstromrechnung!$AA32*Konstanten!$K$3/3.6)+Massenstromrechnung!$X$3</f>
        <v>13.901945331161009</v>
      </c>
      <c r="BW22" s="103" t="str">
        <f>IF(OR(Massenstromrechnung!$Y$6&lt;(BV22*50+Massenstromrechnung!$X$3)/51,(Massenstromrechnung!$Y$6-(BV22*51+Massenstromrechnung!$X$3)/51)&lt;0.7),"trocken","feucht")</f>
        <v>feucht</v>
      </c>
      <c r="BX22" s="104">
        <f>(Massenstromrechnung!$X$4-(Massenstromrechnung!$X$3+BV22)/2)^Konstanten!$E$7*$AK22*$AL22^Konstanten!$F$7*(BV22-Massenstromrechnung!$X$3)^Konstanten!$G$7*((Massenstromrechnung!$X$3+BV22)/2)^Konstanten!$H$7*(Konstanten!$C$7-(BV22-Massenstromrechnung!$X$3)^Konstanten!$I$7*Konstanten!$D$7)</f>
        <v>3002.6055440604141</v>
      </c>
      <c r="BY22" s="104">
        <f>IF(BW22="trocken",BX22,IF(Konstanten!$A$18*(Massenstromrechnung!$Y$6^Konstanten!$B$18*(Massenstromrechnung!$X$4-(Iteration!BV22+Massenstromrechnung!$X$3)/2)^Konstanten!$C$18*BX22^Konstanten!$D$18*((Massenstromrechnung!$X$3+Iteration!BV22)/2)^Konstanten!$E$18+(Iteration!BV22-Massenstromrechnung!$X$3)^Konstanten!$F$18)&lt;1,BX22,BX22*Konstanten!$A$18*(Massenstromrechnung!$Y$6^Konstanten!$B$18*(Massenstromrechnung!$X$4-(Iteration!BV22+Massenstromrechnung!$X$3)/2)^Konstanten!$C$18*BX22^Konstanten!$D$18*((Massenstromrechnung!$X$3+Iteration!BV22)/2)^Konstanten!$E$18+(Iteration!BV22-Massenstromrechnung!$X$3)^Konstanten!$F$18)))</f>
        <v>3772.9005345309656</v>
      </c>
      <c r="BZ22" s="101">
        <f>BY22/(Massenstromrechnung!$AA32*Konstanten!$K$3/3.6)+Massenstromrechnung!$X$3</f>
        <v>11.314971129857966</v>
      </c>
      <c r="CA22" s="103" t="str">
        <f>IF(OR(Massenstromrechnung!$Y$6&lt;(BZ22*50+Massenstromrechnung!$X$3)/51,(Massenstromrechnung!$Y$6-(BZ22*51+Massenstromrechnung!$X$3)/51)&lt;0.7),"trocken","feucht")</f>
        <v>feucht</v>
      </c>
      <c r="CB22" s="104">
        <f>(Massenstromrechnung!$X$4-(Massenstromrechnung!$X$3+BZ22)/2)^Konstanten!$E$7*$AK22*$AL22^Konstanten!$F$7*(BZ22-Massenstromrechnung!$X$3)^Konstanten!$G$7*((Massenstromrechnung!$X$3+BZ22)/2)^Konstanten!$H$7*(Konstanten!$C$7-(BZ22-Massenstromrechnung!$X$3)^Konstanten!$I$7*Konstanten!$D$7)</f>
        <v>3488.7805145758171</v>
      </c>
      <c r="CC22" s="104">
        <f>IF(CA22="trocken",CB22,IF(Konstanten!$A$18*(Massenstromrechnung!$Y$6^Konstanten!$B$18*(Massenstromrechnung!$X$4-(Iteration!BZ22+Massenstromrechnung!$X$3)/2)^Konstanten!$C$18*CB22^Konstanten!$D$18*((Massenstromrechnung!$X$3+Iteration!BZ22)/2)^Konstanten!$E$18+(Iteration!BZ22-Massenstromrechnung!$X$3)^Konstanten!$F$18)&lt;1,CB22,CB22*Konstanten!$A$18*(Massenstromrechnung!$Y$6^Konstanten!$B$18*(Massenstromrechnung!$X$4-(Iteration!BZ22+Massenstromrechnung!$X$3)/2)^Konstanten!$C$18*CB22^Konstanten!$D$18*((Massenstromrechnung!$X$3+Iteration!BZ22)/2)^Konstanten!$E$18+(Iteration!BZ22-Massenstromrechnung!$X$3)^Konstanten!$F$18)))</f>
        <v>4641.7339676676165</v>
      </c>
      <c r="CD22" s="101">
        <f>CC22/(Massenstromrechnung!$AA32*Konstanten!$K$3/3.6)+Massenstromrechnung!$X$3</f>
        <v>12.30863400178578</v>
      </c>
      <c r="CE22" s="103" t="str">
        <f>IF(OR(Massenstromrechnung!$Y$6&lt;(CD22*50+Massenstromrechnung!$X$3)/51,(Massenstromrechnung!$Y$6-(CD22*51+Massenstromrechnung!$X$3)/51)&lt;0.7),"trocken","feucht")</f>
        <v>feucht</v>
      </c>
      <c r="CF22" s="104">
        <f>(Massenstromrechnung!$X$4-(Massenstromrechnung!$X$3+CD22)/2)^Konstanten!$E$7*$AK22*$AL22^Konstanten!$F$7*(CD22-Massenstromrechnung!$X$3)^Konstanten!$G$7*((Massenstromrechnung!$X$3+CD22)/2)^Konstanten!$H$7*(Konstanten!$C$7-(CD22-Massenstromrechnung!$X$3)^Konstanten!$I$7*Konstanten!$D$7)</f>
        <v>3281.3227180686454</v>
      </c>
      <c r="CG22" s="104">
        <f>IF(CE22="trocken",CF22,IF(Konstanten!$A$18*(Massenstromrechnung!$Y$6^Konstanten!$B$18*(Massenstromrechnung!$X$4-(Iteration!CD22+Massenstromrechnung!$X$3)/2)^Konstanten!$C$18*CF22^Konstanten!$D$18*((Massenstromrechnung!$X$3+Iteration!CD22)/2)^Konstanten!$E$18+(Iteration!CD22-Massenstromrechnung!$X$3)^Konstanten!$F$18)&lt;1,CF22,CF22*Konstanten!$A$18*(Massenstromrechnung!$Y$6^Konstanten!$B$18*(Massenstromrechnung!$X$4-(Iteration!CD22+Massenstromrechnung!$X$3)/2)^Konstanten!$C$18*CF22^Konstanten!$D$18*((Massenstromrechnung!$X$3+Iteration!CD22)/2)^Konstanten!$E$18+(Iteration!CD22-Massenstromrechnung!$X$3)^Konstanten!$F$18)))</f>
        <v>4261.5159921977929</v>
      </c>
      <c r="CH22" s="101">
        <f>CG22/(Massenstromrechnung!$AA32*Konstanten!$K$3/3.6)+Massenstromrechnung!$X$3</f>
        <v>11.873788298277383</v>
      </c>
      <c r="CI22" s="103" t="str">
        <f>IF(OR(Massenstromrechnung!$Y$6&lt;(CH22*50+Massenstromrechnung!$X$3)/51,(Massenstromrechnung!$Y$6-(CH22*51+Massenstromrechnung!$X$3)/51)&lt;0.7),"trocken","feucht")</f>
        <v>feucht</v>
      </c>
      <c r="CJ22" s="104">
        <f>(Massenstromrechnung!$X$4-(Massenstromrechnung!$X$3+CH22)/2)^Konstanten!$E$7*$AK22*$AL22^Konstanten!$F$7*(CH22-Massenstromrechnung!$X$3)^Konstanten!$G$7*((Massenstromrechnung!$X$3+CH22)/2)^Konstanten!$H$7*(Konstanten!$C$7-(CH22-Massenstromrechnung!$X$3)^Konstanten!$I$7*Konstanten!$D$7)</f>
        <v>3368.0356962357055</v>
      </c>
      <c r="CK22" s="104">
        <f>IF(CI22="trocken",CJ22,IF(Konstanten!$A$18*(Massenstromrechnung!$Y$6^Konstanten!$B$18*(Massenstromrechnung!$X$4-(Iteration!CH22+Massenstromrechnung!$X$3)/2)^Konstanten!$C$18*CJ22^Konstanten!$D$18*((Massenstromrechnung!$X$3+Iteration!CH22)/2)^Konstanten!$E$18+(Iteration!CH22-Massenstromrechnung!$X$3)^Konstanten!$F$18)&lt;1,CJ22,CJ22*Konstanten!$A$18*(Massenstromrechnung!$Y$6^Konstanten!$B$18*(Massenstromrechnung!$X$4-(Iteration!CH22+Massenstromrechnung!$X$3)/2)^Konstanten!$C$18*CJ22^Konstanten!$D$18*((Massenstromrechnung!$X$3+Iteration!CH22)/2)^Konstanten!$E$18+(Iteration!CH22-Massenstromrechnung!$X$3)^Konstanten!$F$18)))</f>
        <v>4418.856152396379</v>
      </c>
      <c r="CL22" s="101">
        <f>CK22/(Massenstromrechnung!$AA32*Konstanten!$K$3/3.6)+Massenstromrechnung!$X$3</f>
        <v>12.053734268919973</v>
      </c>
      <c r="CM22" s="103" t="str">
        <f>IF(OR(Massenstromrechnung!$Y$6&lt;(CL22*50+Massenstromrechnung!$X$3)/51,(Massenstromrechnung!$Y$6-(CL22*51+Massenstromrechnung!$X$3)/51)&lt;0.7),"trocken","feucht")</f>
        <v>feucht</v>
      </c>
      <c r="CN22" s="104">
        <f>(Massenstromrechnung!$X$4-(Massenstromrechnung!$X$3+CL22)/2)^Konstanten!$E$7*$AK22*$AL22^Konstanten!$F$7*(CL22-Massenstromrechnung!$X$3)^Konstanten!$G$7*((Massenstromrechnung!$X$3+CL22)/2)^Konstanten!$H$7*(Konstanten!$C$7-(CL22-Massenstromrechnung!$X$3)^Konstanten!$I$7*Konstanten!$D$7)</f>
        <v>3331.4623314812075</v>
      </c>
      <c r="CO22" s="104">
        <f>IF(CM22="trocken",CN22,IF(Konstanten!$A$18*(Massenstromrechnung!$Y$6^Konstanten!$B$18*(Massenstromrechnung!$X$4-(Iteration!CL22+Massenstromrechnung!$X$3)/2)^Konstanten!$C$18*CN22^Konstanten!$D$18*((Massenstromrechnung!$X$3+Iteration!CL22)/2)^Konstanten!$E$18+(Iteration!CL22-Massenstromrechnung!$X$3)^Konstanten!$F$18)&lt;1,CN22,CN22*Konstanten!$A$18*(Massenstromrechnung!$Y$6^Konstanten!$B$18*(Massenstromrechnung!$X$4-(Iteration!CL22+Massenstromrechnung!$X$3)/2)^Konstanten!$C$18*CN22^Konstanten!$D$18*((Massenstromrechnung!$X$3+Iteration!CL22)/2)^Konstanten!$E$18+(Iteration!CL22-Massenstromrechnung!$X$3)^Konstanten!$F$18)))</f>
        <v>4352.2068297675951</v>
      </c>
      <c r="CP22" s="101">
        <f>IF(CO22/(Massenstromrechnung!$AA32*Konstanten!$K$3/3.6)+Massenstromrechnung!$X$3-Massenstromrechnung!$X$3&lt;1.4,"RLT zu niedrig",CO22/(Massenstromrechnung!$AA32*Konstanten!$K$3/3.6)+Massenstromrechnung!$X$3)</f>
        <v>11.977509120566427</v>
      </c>
      <c r="CQ22" s="103" t="str">
        <f>IF(CP22="RLT zu niedrig","RLT zu niedrig",IF(OR(Massenstromrechnung!$Y$6&lt;(CP22*50+Massenstromrechnung!$X$3)/51,(Massenstromrechnung!$Y$6-(CP22*51+Massenstromrechnung!$X$3)/51)&lt;0.7),"trocken","feucht"))</f>
        <v>feucht</v>
      </c>
      <c r="CR22" s="104">
        <f>IF(CP22="RLT zu niedrig","RLT zu niedrig",(Massenstromrechnung!$X$4-(Massenstromrechnung!$X$3+CP22)/2)^Konstanten!$E$7*$AK22*$AL22^Konstanten!$F$7*(CP22-Massenstromrechnung!$X$3)^Konstanten!$G$7*((Massenstromrechnung!$X$3+CP22)/2)^Konstanten!$H$7*(Konstanten!$C$7-(CP22-Massenstromrechnung!$X$3)^Konstanten!$I$7*Konstanten!$D$7))</f>
        <v>3346.830390615175</v>
      </c>
      <c r="CS22" s="104">
        <f>IF(CP22="RLT zu niedrig","RLT zu niedrig",IF(CQ22="trocken",CR22,IF(Konstanten!$A$18*(Massenstromrechnung!$Y$6^Konstanten!$B$18*(Massenstromrechnung!$X$4-(Iteration!CP22+Massenstromrechnung!$X$3)/2)^Konstanten!$C$18*CR22^Konstanten!$D$18*((Massenstromrechnung!$X$3+Iteration!CP22)/2)^Konstanten!$E$18+(Iteration!CP22-Massenstromrechnung!$X$3)^Konstanten!$F$18)&lt;1,CR22,CR22*Konstanten!$A$18*(Massenstromrechnung!$Y$6^Konstanten!$B$18*(Massenstromrechnung!$X$4-(Iteration!CP22+Massenstromrechnung!$X$3)/2)^Konstanten!$C$18*CR22^Konstanten!$D$18*((Massenstromrechnung!$X$3+Iteration!CP22)/2)^Konstanten!$E$18+(Iteration!CP22-Massenstromrechnung!$X$3)^Konstanten!$F$18))))</f>
        <v>4380.1624619562454</v>
      </c>
    </row>
    <row r="23" spans="1:97" x14ac:dyDescent="0.3">
      <c r="A23">
        <f>Massenstromrechnung!B33</f>
        <v>1890</v>
      </c>
      <c r="B23" s="27">
        <v>985</v>
      </c>
      <c r="C23" s="103">
        <f>IF(Massenstromrechnung!$K$3-10&lt;=Massenstromrechnung!$K$4,Massenstromrechnung!$K$3-0.75*(Massenstromrechnung!$K$3-Massenstromrechnung!$K$4),Massenstromrechnung!$K$3-10)</f>
        <v>65</v>
      </c>
      <c r="D23" s="103">
        <f>-1*((Massenstromrechnung!$K$3+C23)/2-Massenstromrechnung!$K$4)^Konstanten!$E$4*Massenstromrechnung!$B33*Massenstromrechnung!$C33^Konstanten!$F$4*(Massenstromrechnung!$K$3-C23)^Konstanten!$G$4*((Massenstromrechnung!$K$3+C23)/2)^Konstanten!$H$4*(Konstanten!$C$4-((Massenstromrechnung!$K$3-C23)^Konstanten!$I$4*Konstanten!$D$4))/(Massenstromrechnung!$F33*Konstanten!$K$3/3.6)+Massenstromrechnung!$K$3</f>
        <v>65</v>
      </c>
      <c r="E23" s="103">
        <f t="shared" si="6"/>
        <v>65</v>
      </c>
      <c r="F23" s="103">
        <f>-1*((Massenstromrechnung!$K$3+E23)/2-Massenstromrechnung!$K$4)^Konstanten!$E$4*Massenstromrechnung!$B33*Massenstromrechnung!$C33^Konstanten!$F$4*(Massenstromrechnung!$K$3-E23)^Konstanten!$G$4*((Massenstromrechnung!$K$3+E23)/2)^Konstanten!$H$4*(Konstanten!$C$4-((Massenstromrechnung!$K$3-E23)^Konstanten!$I$4*Konstanten!$D$4))/(Massenstromrechnung!$F33*Konstanten!$K$3/3.6)+Massenstromrechnung!$K$3</f>
        <v>65</v>
      </c>
      <c r="G23" s="103">
        <f t="shared" si="0"/>
        <v>65</v>
      </c>
      <c r="H23" s="103">
        <f>-1*((Massenstromrechnung!$K$3+G23)/2-Massenstromrechnung!$K$4)^Konstanten!$E$4*Massenstromrechnung!$B33*Massenstromrechnung!$C33^Konstanten!$F$4*(Massenstromrechnung!$K$3-G23)^Konstanten!$G$4*((Massenstromrechnung!$K$3+G23)/2)^Konstanten!$H$4*(Konstanten!$C$4-((Massenstromrechnung!$K$3-G23)^Konstanten!$I$4*Konstanten!$D$4))/(Massenstromrechnung!$F33*Konstanten!$K$3/3.6)+Massenstromrechnung!$K$3</f>
        <v>65</v>
      </c>
      <c r="I23" s="103">
        <f t="shared" si="1"/>
        <v>65</v>
      </c>
      <c r="J23" s="103">
        <f>-1*((Massenstromrechnung!$K$3+I23)/2-Massenstromrechnung!$K$4)^Konstanten!$E$4*Massenstromrechnung!$B33*Massenstromrechnung!$C33^Konstanten!$F$4*(Massenstromrechnung!$K$3-I23)^Konstanten!$G$4*((Massenstromrechnung!$K$3+I23)/2)^Konstanten!$H$4*(Konstanten!$C$4-((Massenstromrechnung!$K$3-I23)^Konstanten!$I$4*Konstanten!$D$4))/(Massenstromrechnung!$F33*Konstanten!$K$3/3.6)+Massenstromrechnung!$K$3</f>
        <v>65</v>
      </c>
      <c r="K23" s="103">
        <f t="shared" si="2"/>
        <v>65</v>
      </c>
      <c r="L23" s="103">
        <f>-1*((Massenstromrechnung!$K$3+K23)/2-Massenstromrechnung!$K$4)^Konstanten!$E$4*Massenstromrechnung!$B33*Massenstromrechnung!$C33^Konstanten!$F$4*(Massenstromrechnung!$K$3-K23)^Konstanten!$G$4*((Massenstromrechnung!$K$3+K23)/2)^Konstanten!$H$4*(Konstanten!$C$4-((Massenstromrechnung!$K$3-K23)^Konstanten!$I$4*Konstanten!$D$4))/(Massenstromrechnung!$F33*Konstanten!$K$3/3.6)+Massenstromrechnung!$K$3</f>
        <v>65</v>
      </c>
      <c r="N23">
        <f>'Katalogdaten M3G045'!B37</f>
        <v>1890</v>
      </c>
      <c r="O23" s="27">
        <v>985</v>
      </c>
      <c r="P23" s="103">
        <f>IF(Massenstromrechnung!$K$3-10&lt;=Massenstromrechnung!$K$4,Massenstromrechnung!$K$3-0.75*(Massenstromrechnung!$K$3-Massenstromrechnung!$K$4),Massenstromrechnung!$K$3-10)</f>
        <v>65</v>
      </c>
      <c r="Q23" s="103" t="e">
        <f>-1*((Massenstromrechnung!$K$3+P23)/2-Massenstromrechnung!$K$4)^Konstanten!$E$4*Massenstromrechnung!$B33*Massenstromrechnung!$C33^Konstanten!$F$4*(Massenstromrechnung!$K$3-P23)^Konstanten!$G$4*((Massenstromrechnung!$K$3+P23)/2)^Konstanten!$H$4*(Konstanten!$C$4-((Massenstromrechnung!$K$3-P23)^Konstanten!$I$4*Konstanten!$D$4))/(Massenstromrechnung!#REF!*Konstanten!$K$3/3.6)+Massenstromrechnung!$K$3</f>
        <v>#REF!</v>
      </c>
      <c r="R23" s="103" t="e">
        <f t="shared" si="7"/>
        <v>#REF!</v>
      </c>
      <c r="S23" s="103" t="e">
        <f>-1*((Massenstromrechnung!$K$3+R23)/2-Massenstromrechnung!$K$4)^Konstanten!$E$4*Massenstromrechnung!$B33*Massenstromrechnung!$C33^Konstanten!$F$4*(Massenstromrechnung!$K$3-R23)^Konstanten!$G$4*((Massenstromrechnung!$K$3+R23)/2)^Konstanten!$H$4*(Konstanten!$C$4-((Massenstromrechnung!$K$3-R23)^Konstanten!$I$4*Konstanten!$D$4))/(Massenstromrechnung!#REF!*Konstanten!$K$3/3.6)+Massenstromrechnung!$K$3</f>
        <v>#REF!</v>
      </c>
      <c r="T23" s="103" t="e">
        <f t="shared" si="3"/>
        <v>#REF!</v>
      </c>
      <c r="U23" s="103" t="e">
        <f>-1*((Massenstromrechnung!$K$3+T23)/2-Massenstromrechnung!$K$4)^Konstanten!$E$4*Massenstromrechnung!$B33*Massenstromrechnung!$C33^Konstanten!$F$4*(Massenstromrechnung!$K$3-T23)^Konstanten!$G$4*((Massenstromrechnung!$K$3+T23)/2)^Konstanten!$H$4*(Konstanten!$C$4-((Massenstromrechnung!$K$3-T23)^Konstanten!$I$4*Konstanten!$D$4))/(Massenstromrechnung!#REF!*Konstanten!$K$3/3.6)+Massenstromrechnung!$K$3</f>
        <v>#REF!</v>
      </c>
      <c r="V23" s="103" t="e">
        <f t="shared" si="4"/>
        <v>#REF!</v>
      </c>
      <c r="W23" s="103" t="e">
        <f>-1*((Massenstromrechnung!$K$3+V23)/2-Massenstromrechnung!$K$4)^Konstanten!$E$4*Massenstromrechnung!$B33*Massenstromrechnung!$C33^Konstanten!$F$4*(Massenstromrechnung!$K$3-V23)^Konstanten!$G$4*((Massenstromrechnung!$K$3+V23)/2)^Konstanten!$H$4*(Konstanten!$C$4-((Massenstromrechnung!$K$3-V23)^Konstanten!$I$4*Konstanten!$D$4))/(Massenstromrechnung!#REF!*Konstanten!$K$3/3.6)+Massenstromrechnung!$K$3</f>
        <v>#REF!</v>
      </c>
      <c r="X23" s="103" t="e">
        <f t="shared" si="5"/>
        <v>#REF!</v>
      </c>
      <c r="Y23" s="103" t="e">
        <f>-1*((Massenstromrechnung!$K$3+X23)/2-Massenstromrechnung!$K$4)^Konstanten!$E$4*Massenstromrechnung!$B33*Massenstromrechnung!$C33^Konstanten!$F$4*(Massenstromrechnung!$K$3-X23)^Konstanten!$G$4*((Massenstromrechnung!$K$3+X23)/2)^Konstanten!$H$4*(Konstanten!$C$4-((Massenstromrechnung!$K$3-X23)^Konstanten!$I$4*Konstanten!$D$4))/(Massenstromrechnung!#REF!*Konstanten!$K$3/3.6)+Massenstromrechnung!$K$3</f>
        <v>#REF!</v>
      </c>
      <c r="AA23">
        <f t="shared" si="8"/>
        <v>1890</v>
      </c>
      <c r="AB23">
        <f t="shared" si="8"/>
        <v>985</v>
      </c>
      <c r="AC23" s="103">
        <f>IF(Massenstromrechnung!$K$3-10&lt;=Massenstromrechnung!$K$4,Massenstromrechnung!$K$3-0.75*(Massenstromrechnung!$K$3-Massenstromrechnung!$K$4),Massenstromrechnung!$K$3-10)</f>
        <v>65</v>
      </c>
      <c r="AD23" s="103">
        <f>-1*((Massenstromrechnung!$K$3+AC23)/2-Massenstromrechnung!$K$4)^Konstanten!$E$5*$AA23*$AB23^Konstanten!$F$5*(Massenstromrechnung!$K$3-AC23)^Konstanten!$G$5*((Massenstromrechnung!$K$3+AC23)/2)^Konstanten!$H$5*(Konstanten!$C$5-((Massenstromrechnung!$K$3-AC23)^Konstanten!$I$5*Konstanten!$D$5))/(Massenstromrechnung!$L33*Konstanten!$K$3/3.6)+Massenstromrechnung!$K$3</f>
        <v>65</v>
      </c>
      <c r="AE23" s="103">
        <f>-1*((Massenstromrechnung!$K$3+AD23)/2-Massenstromrechnung!$K$4)^Konstanten!$E$5*$AA23*$AB23^Konstanten!$F$5*(Massenstromrechnung!$K$3-AD23)^Konstanten!$G$5*((Massenstromrechnung!$K$3+AD23)/2)^Konstanten!$H$5*(Konstanten!$C$5-((Massenstromrechnung!$K$3-AD23)^Konstanten!$I$5*Konstanten!$D$5))/(Massenstromrechnung!$L33*Konstanten!$K$3/3.6)+Massenstromrechnung!$K$3</f>
        <v>65</v>
      </c>
      <c r="AF23" s="103">
        <f>-1*((Massenstromrechnung!$K$3+AE23)/2-Massenstromrechnung!$K$4)^Konstanten!$E$5*$AA23*$AB23^Konstanten!$F$5*(Massenstromrechnung!$K$3-AE23)^Konstanten!$G$5*((Massenstromrechnung!$K$3+AE23)/2)^Konstanten!$H$5*(Konstanten!$C$5-((Massenstromrechnung!$K$3-AE23)^Konstanten!$I$5*Konstanten!$D$5))/(Massenstromrechnung!$L33*Konstanten!$K$3/3.6)+Massenstromrechnung!$K$3</f>
        <v>65</v>
      </c>
      <c r="AG23" s="103">
        <f>-1*((Massenstromrechnung!$K$3+AF23)/2-Massenstromrechnung!$K$4)^Konstanten!$E$5*$AA23*$AB23^Konstanten!$F$5*(Massenstromrechnung!$K$3-AF23)^Konstanten!$G$5*((Massenstromrechnung!$K$3+AF23)/2)^Konstanten!$H$5*(Konstanten!$C$5-((Massenstromrechnung!$K$3-AF23)^Konstanten!$I$5*Konstanten!$D$5))/(Massenstromrechnung!$L33*Konstanten!$K$3/3.6)+Massenstromrechnung!$K$3</f>
        <v>65</v>
      </c>
      <c r="AH23" s="103">
        <f>-1*((Massenstromrechnung!$K$3+AG23)/2-Massenstromrechnung!$K$4)^Konstanten!$E$5*$AA23*$AB23^Konstanten!$F$5*(Massenstromrechnung!$K$3-AG23)^Konstanten!$G$5*((Massenstromrechnung!$K$3+AG23)/2)^Konstanten!$H$5*(Konstanten!$C$5-((Massenstromrechnung!$K$3-AG23)^Konstanten!$I$5*Konstanten!$D$5))/(Massenstromrechnung!$L33*Konstanten!$K$3/3.6)+Massenstromrechnung!$K$3</f>
        <v>65</v>
      </c>
      <c r="AI23" s="103">
        <f>-1*((Massenstromrechnung!$K$3+AH23)/2-Massenstromrechnung!$K$4)^Konstanten!$E$5*$AA23*$AB23^Konstanten!$F$5*(Massenstromrechnung!$K$3-AH23)^Konstanten!$G$5*((Massenstromrechnung!$K$3+AH23)/2)^Konstanten!$H$5*(Konstanten!$C$5-((Massenstromrechnung!$K$3-AH23)^Konstanten!$I$5*Konstanten!$D$5))/(Massenstromrechnung!$L33*Konstanten!$K$3/3.6)+Massenstromrechnung!$K$3</f>
        <v>65</v>
      </c>
      <c r="AK23">
        <f t="shared" si="9"/>
        <v>1890</v>
      </c>
      <c r="AL23">
        <f t="shared" si="9"/>
        <v>985</v>
      </c>
      <c r="AM23" s="103">
        <f>Massenstromrechnung!$X$3+2</f>
        <v>9</v>
      </c>
      <c r="AN23" s="103" t="str">
        <f>IF(OR(Massenstromrechnung!$Y$6&lt;(AM23*50+Massenstromrechnung!$X$3)/51,(Massenstromrechnung!$Y$6-(AM23*51+Massenstromrechnung!$X$3)/51)&lt;0.7),"trocken","feucht")</f>
        <v>feucht</v>
      </c>
      <c r="AO23" s="104">
        <f>(Massenstromrechnung!$X$4-(Massenstromrechnung!$X$3+AM23)/2)^Konstanten!$E$6*$AK23*$AL23^Konstanten!$F$6*(AM23-Massenstromrechnung!$X$3)^Konstanten!$G$6*((Massenstromrechnung!$X$3+AM23)/2)^Konstanten!$H$6*(Konstanten!$C$6-(AM23-Massenstromrechnung!$X$3)^Konstanten!$I$6*Konstanten!$D$6)</f>
        <v>2898.1808729369513</v>
      </c>
      <c r="AP23" s="104">
        <f>IF(AN23="trocken",AO23,IF(Konstanten!$A$18*(Massenstromrechnung!$Y$6^Konstanten!$B$18*(Massenstromrechnung!$X$4-(Iteration!AM23+Massenstromrechnung!$X$3)/2)^Konstanten!$C$18*AO23^Konstanten!$D$18*((Massenstromrechnung!$X$3+Iteration!AM23)/2)^Konstanten!$E$18+(Iteration!AM23-Massenstromrechnung!$X$3)^Konstanten!$F$18)&lt;1,AO23,AO23*Konstanten!$A$18*(Massenstromrechnung!$Y$6^Konstanten!$B$18*(Massenstromrechnung!$X$4-(Iteration!AM23+Massenstromrechnung!$X$3)/2)^Konstanten!$C$18*AO23^Konstanten!$D$18*((Massenstromrechnung!$X$3+Iteration!AM23)/2)^Konstanten!$E$18+(Iteration!AM23-Massenstromrechnung!$X$3)^Konstanten!$F$18)))</f>
        <v>4207.2386809261652</v>
      </c>
      <c r="AQ23" s="101">
        <f>AP23/(Massenstromrechnung!$R33*Konstanten!$K$3/3.6)+Massenstromrechnung!$X$3</f>
        <v>13.221911411445145</v>
      </c>
      <c r="AR23" s="103" t="str">
        <f>IF(OR(Massenstromrechnung!$Y$6&lt;(AQ23*50+Massenstromrechnung!$X$3)/51,(Massenstromrechnung!$Y$6-(AQ23*51+Massenstromrechnung!$X$3)/51)&lt;0.7),"trocken","feucht")</f>
        <v>feucht</v>
      </c>
      <c r="AS23" s="104">
        <f>(Massenstromrechnung!$X$4-(Massenstromrechnung!$X$3+AQ23)/2)^Konstanten!$E$6*$AK23*$AL23^Konstanten!$F$6*(AQ23-Massenstromrechnung!$X$3)^Konstanten!$G$6*((Massenstromrechnung!$X$3+AQ23)/2)^Konstanten!$H$6*(Konstanten!$C$6-(AQ23-Massenstromrechnung!$X$3)^Konstanten!$I$6*Konstanten!$D$6)</f>
        <v>2420.925681549093</v>
      </c>
      <c r="AT23" s="104">
        <f>IF(AR23="trocken",AS23,IF(Konstanten!$A$18*(Massenstromrechnung!$Y$6^Konstanten!$B$18*(Massenstromrechnung!$X$4-(Iteration!AQ23+Massenstromrechnung!$X$3)/2)^Konstanten!$C$18*AS23^Konstanten!$D$18*((Massenstromrechnung!$X$3+Iteration!AQ23)/2)^Konstanten!$E$18+(Iteration!AQ23-Massenstromrechnung!$X$3)^Konstanten!$F$18)&lt;1,AS23,AS23*Konstanten!$A$18*(Massenstromrechnung!$Y$6^Konstanten!$B$18*(Massenstromrechnung!$X$4-(Iteration!AQ23+Massenstromrechnung!$X$3)/2)^Konstanten!$C$18*AS23^Konstanten!$D$18*((Massenstromrechnung!$X$3+Iteration!AQ23)/2)^Konstanten!$E$18+(Iteration!AQ23-Massenstromrechnung!$X$3)^Konstanten!$F$18)))</f>
        <v>3106.194893887669</v>
      </c>
      <c r="AU23" s="101">
        <f>AT23/(Massenstromrechnung!$R33*Konstanten!$K$3/3.6)+Massenstromrechnung!$X$3</f>
        <v>11.593623257950718</v>
      </c>
      <c r="AV23" s="103" t="str">
        <f>IF(OR(Massenstromrechnung!$Y$6&lt;(AU23*50+Massenstromrechnung!$X$3)/51,(Massenstromrechnung!$Y$6-(AU23*51+Massenstromrechnung!$X$3)/51)&lt;0.7),"trocken","feucht")</f>
        <v>feucht</v>
      </c>
      <c r="AW23" s="104">
        <f>(Massenstromrechnung!$X$4-(Massenstromrechnung!$X$3+AU23)/2)^Konstanten!$E$6*$AK23*$AL23^Konstanten!$F$6*(AU23-Massenstromrechnung!$X$3)^Konstanten!$G$6*((Massenstromrechnung!$X$3+AU23)/2)^Konstanten!$H$6*(Konstanten!$C$6-(AU23-Massenstromrechnung!$X$3)^Konstanten!$I$6*Konstanten!$D$6)</f>
        <v>2614.2844910772374</v>
      </c>
      <c r="AX23" s="104">
        <f>IF(AV23="trocken",AW23,IF(Konstanten!$A$18*(Massenstromrechnung!$Y$6^Konstanten!$B$18*(Massenstromrechnung!$X$4-(Iteration!AU23+Massenstromrechnung!$X$3)/2)^Konstanten!$C$18*AW23^Konstanten!$D$18*((Massenstromrechnung!$X$3+Iteration!AU23)/2)^Konstanten!$E$18+(Iteration!AU23-Massenstromrechnung!$X$3)^Konstanten!$F$18)&lt;1,AW23,AW23*Konstanten!$A$18*(Massenstromrechnung!$Y$6^Konstanten!$B$18*(Massenstromrechnung!$X$4-(Iteration!AU23+Massenstromrechnung!$X$3)/2)^Konstanten!$C$18*AW23^Konstanten!$D$18*((Massenstromrechnung!$X$3+Iteration!AU23)/2)^Konstanten!$E$18+(Iteration!AU23-Massenstromrechnung!$X$3)^Konstanten!$F$18)))</f>
        <v>3481.4509667334546</v>
      </c>
      <c r="AY23" s="101">
        <f>AX23/(Massenstromrechnung!$R33*Konstanten!$K$3/3.6)+Massenstromrechnung!$X$3</f>
        <v>12.148573955765492</v>
      </c>
      <c r="AZ23" s="103" t="str">
        <f>IF(OR(Massenstromrechnung!$Y$6&lt;(AY23*50+Massenstromrechnung!$X$3)/51,(Massenstromrechnung!$Y$6-(AY23*51+Massenstromrechnung!$X$3)/51)&lt;0.7),"trocken","feucht")</f>
        <v>feucht</v>
      </c>
      <c r="BA23" s="104">
        <f>(Massenstromrechnung!$X$4-(Massenstromrechnung!$X$3+AY23)/2)^Konstanten!$E$6*$AK23*$AL23^Konstanten!$F$6*(AY23-Massenstromrechnung!$X$3)^Konstanten!$G$6*((Massenstromrechnung!$X$3+AY23)/2)^Konstanten!$H$6*(Konstanten!$C$6-(AY23-Massenstromrechnung!$X$3)^Konstanten!$I$6*Konstanten!$D$6)</f>
        <v>2546.4903936647806</v>
      </c>
      <c r="BB23" s="104">
        <f>IF(AZ23="trocken",BA23,IF(Konstanten!$A$18*(Massenstromrechnung!$Y$6^Konstanten!$B$18*(Massenstromrechnung!$X$4-(Iteration!AY23+Massenstromrechnung!$X$3)/2)^Konstanten!$C$18*BA23^Konstanten!$D$18*((Massenstromrechnung!$X$3+Iteration!AY23)/2)^Konstanten!$E$18+(Iteration!AY23-Massenstromrechnung!$X$3)^Konstanten!$F$18)&lt;1,BA23,BA23*Konstanten!$A$18*(Massenstromrechnung!$Y$6^Konstanten!$B$18*(Massenstromrechnung!$X$4-(Iteration!AY23+Massenstromrechnung!$X$3)/2)^Konstanten!$C$18*BA23^Konstanten!$D$18*((Massenstromrechnung!$X$3+Iteration!AY23)/2)^Konstanten!$E$18+(Iteration!AY23-Massenstromrechnung!$X$3)^Konstanten!$F$18)))</f>
        <v>3345.4429031468972</v>
      </c>
      <c r="BC23" s="101">
        <f>BB23/(Massenstromrechnung!$R33*Konstanten!$K$3/3.6)+Massenstromrechnung!$X$3</f>
        <v>11.947437251372131</v>
      </c>
      <c r="BD23" s="103" t="str">
        <f>IF(OR(Massenstromrechnung!$Y$6&lt;(BC23*50+Massenstromrechnung!$X$3)/51,(Massenstromrechnung!$Y$6-(BC23*51+Massenstromrechnung!$X$3)/51)&lt;0.7),"trocken","feucht")</f>
        <v>feucht</v>
      </c>
      <c r="BE23" s="104">
        <f>(Massenstromrechnung!$X$4-(Massenstromrechnung!$X$3+BC23)/2)^Konstanten!$E$6*$AK23*$AL23^Konstanten!$F$6*(BC23-Massenstromrechnung!$X$3)^Konstanten!$G$6*((Massenstromrechnung!$X$3+BC23)/2)^Konstanten!$H$6*(Konstanten!$C$6-(BC23-Massenstromrechnung!$X$3)^Konstanten!$I$6*Konstanten!$D$6)</f>
        <v>2570.8597377561546</v>
      </c>
      <c r="BF23" s="104">
        <f>IF(BD23="trocken",BE23,IF(Konstanten!$A$18*(Massenstromrechnung!$Y$6^Konstanten!$B$18*(Massenstromrechnung!$X$4-(Iteration!BC23+Massenstromrechnung!$X$3)/2)^Konstanten!$C$18*BE23^Konstanten!$D$18*((Massenstromrechnung!$X$3+Iteration!BC23)/2)^Konstanten!$E$18+(Iteration!BC23-Massenstromrechnung!$X$3)^Konstanten!$F$18)&lt;1,BE23,BE23*Konstanten!$A$18*(Massenstromrechnung!$Y$6^Konstanten!$B$18*(Massenstromrechnung!$X$4-(Iteration!BC23+Massenstromrechnung!$X$3)/2)^Konstanten!$C$18*BE23^Konstanten!$D$18*((Massenstromrechnung!$X$3+Iteration!BC23)/2)^Konstanten!$E$18+(Iteration!BC23-Massenstromrechnung!$X$3)^Konstanten!$F$18)))</f>
        <v>3393.7102935056714</v>
      </c>
      <c r="BG23" s="101">
        <f>BF23/(Massenstromrechnung!$R33*Konstanten!$K$3/3.6)+Massenstromrechnung!$X$3</f>
        <v>12.018817900213243</v>
      </c>
      <c r="BH23" s="103" t="str">
        <f>IF(OR(Massenstromrechnung!$Y$6&lt;(BG23*50+Massenstromrechnung!$X$3)/51,(Massenstromrechnung!$Y$6-(BG23*51+Massenstromrechnung!$X$3)/51)&lt;0.7),"trocken","feucht")</f>
        <v>feucht</v>
      </c>
      <c r="BI23" s="104">
        <f>(Massenstromrechnung!$X$4-(Massenstromrechnung!$X$3+BG23)/2)^Konstanten!$E$6*$AK23*$AL23^Konstanten!$F$6*(BG23-Massenstromrechnung!$X$3)^Konstanten!$G$6*((Massenstromrechnung!$X$3+BG23)/2)^Konstanten!$H$6*(Konstanten!$C$6-(BG23-Massenstromrechnung!$X$3)^Konstanten!$I$6*Konstanten!$D$6)</f>
        <v>2562.1833702998997</v>
      </c>
      <c r="BJ23" s="104">
        <f>IF(BH23="trocken",BI23,IF(Konstanten!$A$18*(Massenstromrechnung!$Y$6^Konstanten!$B$18*(Massenstromrechnung!$X$4-(Iteration!BG23+Massenstromrechnung!$X$3)/2)^Konstanten!$C$18*BI23^Konstanten!$D$18*((Massenstromrechnung!$X$3+Iteration!BG23)/2)^Konstanten!$E$18+(Iteration!BG23-Massenstromrechnung!$X$3)^Konstanten!$F$18)&lt;1,BI23,BI23*Konstanten!$A$18*(Massenstromrechnung!$Y$6^Konstanten!$B$18*(Massenstromrechnung!$X$4-(Iteration!BG23+Massenstromrechnung!$X$3)/2)^Konstanten!$C$18*BI23^Konstanten!$D$18*((Massenstromrechnung!$X$3+Iteration!BG23)/2)^Konstanten!$E$18+(Iteration!BG23-Massenstromrechnung!$X$3)^Konstanten!$F$18)))</f>
        <v>3376.449359302776</v>
      </c>
      <c r="BK23" s="101">
        <f>IF(BJ23/(Massenstromrechnung!$R33*Konstanten!$K$3/3.6)+Massenstromrechnung!$X$3-Massenstromrechnung!$X$3&lt;1.4,"RLT zu niedrig",BJ23/(Massenstromrechnung!$R33*Konstanten!$K$3/3.6)+Massenstromrechnung!$X$3)</f>
        <v>11.99329141796823</v>
      </c>
      <c r="BL23" s="103" t="str">
        <f>IF(BK23="RLT zu niedrig","RLT zu niedrig",IF(OR(Massenstromrechnung!$Y$6&lt;(BK23*50+Massenstromrechnung!$X$3)/51,(Massenstromrechnung!$Y$6-(BK23*51+Massenstromrechnung!$X$3)/51)&lt;0.7),"trocken","feucht"))</f>
        <v>feucht</v>
      </c>
      <c r="BM23" s="104">
        <f>IF(BK23="RLT zu niedrig","RLT zu niedrig",(Massenstromrechnung!$X$4-(Massenstromrechnung!$X$3+BK23)/2)^Konstanten!$E$6*$AK23*$AL23^Konstanten!$F$6*(BK23-Massenstromrechnung!$X$3)^Konstanten!$G$6*((Massenstromrechnung!$X$3+BK23)/2)^Konstanten!$H$6*(Konstanten!$C$6-(BK23-Massenstromrechnung!$X$3)^Konstanten!$I$6*Konstanten!$D$6))</f>
        <v>2565.2826566735171</v>
      </c>
      <c r="BN23" s="104">
        <f>IF(BK23="RLT zu niedrig","RLT zu niedrig",IF(BL23="trocken",BM23,IF(Konstanten!$A$18*(Massenstromrechnung!$Y$6^Konstanten!$B$18*(Massenstromrechnung!$X$4-(Iteration!BK23+Massenstromrechnung!$X$3)/2)^Konstanten!$C$18*BM23^Konstanten!$D$18*((Massenstromrechnung!$X$3+Iteration!BK23)/2)^Konstanten!$E$18+(Iteration!BK23-Massenstromrechnung!$X$3)^Konstanten!$F$18)&lt;1,BM23,BM23*Konstanten!$A$18*(Massenstromrechnung!$Y$6^Konstanten!$B$18*(Massenstromrechnung!$X$4-(Iteration!BK23+Massenstromrechnung!$X$3)/2)^Konstanten!$C$18*BM23^Konstanten!$D$18*((Massenstromrechnung!$X$3+Iteration!BK23)/2)^Konstanten!$E$18+(Iteration!BK23-Massenstromrechnung!$X$3)^Konstanten!$F$18))))</f>
        <v>3382.6053250102705</v>
      </c>
      <c r="BO23" s="101"/>
      <c r="BP23">
        <f t="shared" si="10"/>
        <v>1890</v>
      </c>
      <c r="BQ23">
        <f t="shared" si="10"/>
        <v>985</v>
      </c>
      <c r="BR23" s="103">
        <f>Massenstromrechnung!$X$3+2</f>
        <v>9</v>
      </c>
      <c r="BS23" s="103" t="str">
        <f>IF(OR(Massenstromrechnung!$Y$6&lt;(BR23*50+Massenstromrechnung!$X$3)/51,(Massenstromrechnung!$Y$6-(BR23*51+Massenstromrechnung!$X$3)/51)&lt;0.7),"trocken","feucht")</f>
        <v>feucht</v>
      </c>
      <c r="BT23" s="104">
        <f>(Massenstromrechnung!$X$4-(Massenstromrechnung!$X$3+BR23)/2)^Konstanten!$E$7*$AK23*$AL23^Konstanten!$F$7*(BR23-Massenstromrechnung!$X$3)^Konstanten!$G$7*((Massenstromrechnung!$X$3+BR23)/2)^Konstanten!$H$7*(Konstanten!$C$7-(BR23-Massenstromrechnung!$X$3)^Konstanten!$I$7*Konstanten!$D$7)</f>
        <v>3144.2052925105604</v>
      </c>
      <c r="BU23" s="104">
        <f>IF(BS23="trocken",BT23,IF(Konstanten!$A$18*(Massenstromrechnung!$Y$6^Konstanten!$B$18*(Massenstromrechnung!$X$4-(Iteration!BR23+Massenstromrechnung!$X$3)/2)^Konstanten!$C$18*BT23^Konstanten!$D$18*((Massenstromrechnung!$X$3+Iteration!BR23)/2)^Konstanten!$E$18+(Iteration!BR23-Massenstromrechnung!$X$3)^Konstanten!$F$18)&lt;1,BT23,BT23*Konstanten!$A$18*(Massenstromrechnung!$Y$6^Konstanten!$B$18*(Massenstromrechnung!$X$4-(Iteration!BR23+Massenstromrechnung!$X$3)/2)^Konstanten!$C$18*BT23^Konstanten!$D$18*((Massenstromrechnung!$X$3+Iteration!BR23)/2)^Konstanten!$E$18+(Iteration!BR23-Massenstromrechnung!$X$3)^Konstanten!$F$18)))</f>
        <v>4553.6576358415014</v>
      </c>
      <c r="BV23" s="101">
        <f>BU23/(Massenstromrechnung!$AA33*Konstanten!$K$3/3.6)+Massenstromrechnung!$X$3</f>
        <v>13.90022060917917</v>
      </c>
      <c r="BW23" s="103" t="str">
        <f>IF(OR(Massenstromrechnung!$Y$6&lt;(BV23*50+Massenstromrechnung!$X$3)/51,(Massenstromrechnung!$Y$6-(BV23*51+Massenstromrechnung!$X$3)/51)&lt;0.7),"trocken","feucht")</f>
        <v>feucht</v>
      </c>
      <c r="BX23" s="104">
        <f>(Massenstromrechnung!$X$4-(Massenstromrechnung!$X$3+BV23)/2)^Konstanten!$E$7*$AK23*$AL23^Konstanten!$F$7*(BV23-Massenstromrechnung!$X$3)^Konstanten!$G$7*((Massenstromrechnung!$X$3+BV23)/2)^Konstanten!$H$7*(Konstanten!$C$7-(BV23-Massenstromrechnung!$X$3)^Konstanten!$I$7*Konstanten!$D$7)</f>
        <v>2246.9468005873828</v>
      </c>
      <c r="BY23" s="104">
        <f>IF(BW23="trocken",BX23,IF(Konstanten!$A$18*(Massenstromrechnung!$Y$6^Konstanten!$B$18*(Massenstromrechnung!$X$4-(Iteration!BV23+Massenstromrechnung!$X$3)/2)^Konstanten!$C$18*BX23^Konstanten!$D$18*((Massenstromrechnung!$X$3+Iteration!BV23)/2)^Konstanten!$E$18+(Iteration!BV23-Massenstromrechnung!$X$3)^Konstanten!$F$18)&lt;1,BX23,BX23*Konstanten!$A$18*(Massenstromrechnung!$Y$6^Konstanten!$B$18*(Massenstromrechnung!$X$4-(Iteration!BV23+Massenstromrechnung!$X$3)/2)^Konstanten!$C$18*BX23^Konstanten!$D$18*((Massenstromrechnung!$X$3+Iteration!BV23)/2)^Konstanten!$E$18+(Iteration!BV23-Massenstromrechnung!$X$3)^Konstanten!$F$18)))</f>
        <v>2848.098991981039</v>
      </c>
      <c r="BZ23" s="101">
        <f>BY23/(Massenstromrechnung!$AA33*Konstanten!$K$3/3.6)+Massenstromrechnung!$X$3</f>
        <v>11.315763927170661</v>
      </c>
      <c r="CA23" s="103" t="str">
        <f>IF(OR(Massenstromrechnung!$Y$6&lt;(BZ23*50+Massenstromrechnung!$X$3)/51,(Massenstromrechnung!$Y$6-(BZ23*51+Massenstromrechnung!$X$3)/51)&lt;0.7),"trocken","feucht")</f>
        <v>feucht</v>
      </c>
      <c r="CB23" s="104">
        <f>(Massenstromrechnung!$X$4-(Massenstromrechnung!$X$3+BZ23)/2)^Konstanten!$E$7*$AK23*$AL23^Konstanten!$F$7*(BZ23-Massenstromrechnung!$X$3)^Konstanten!$G$7*((Massenstromrechnung!$X$3+BZ23)/2)^Konstanten!$H$7*(Konstanten!$C$7-(BZ23-Massenstromrechnung!$X$3)^Konstanten!$I$7*Konstanten!$D$7)</f>
        <v>2610.3930502666663</v>
      </c>
      <c r="CC23" s="104">
        <f>IF(CA23="trocken",CB23,IF(Konstanten!$A$18*(Massenstromrechnung!$Y$6^Konstanten!$B$18*(Massenstromrechnung!$X$4-(Iteration!BZ23+Massenstromrechnung!$X$3)/2)^Konstanten!$C$18*CB23^Konstanten!$D$18*((Massenstromrechnung!$X$3+Iteration!BZ23)/2)^Konstanten!$E$18+(Iteration!BZ23-Massenstromrechnung!$X$3)^Konstanten!$F$18)&lt;1,CB23,CB23*Konstanten!$A$18*(Massenstromrechnung!$Y$6^Konstanten!$B$18*(Massenstromrechnung!$X$4-(Iteration!BZ23+Massenstromrechnung!$X$3)/2)^Konstanten!$C$18*CB23^Konstanten!$D$18*((Massenstromrechnung!$X$3+Iteration!BZ23)/2)^Konstanten!$E$18+(Iteration!BZ23-Massenstromrechnung!$X$3)^Konstanten!$F$18)))</f>
        <v>3502.9605848767133</v>
      </c>
      <c r="CD23" s="101">
        <f>CC23/(Massenstromrechnung!$AA33*Konstanten!$K$3/3.6)+Massenstromrechnung!$X$3</f>
        <v>12.30808478675667</v>
      </c>
      <c r="CE23" s="103" t="str">
        <f>IF(OR(Massenstromrechnung!$Y$6&lt;(CD23*50+Massenstromrechnung!$X$3)/51,(Massenstromrechnung!$Y$6-(CD23*51+Massenstromrechnung!$X$3)/51)&lt;0.7),"trocken","feucht")</f>
        <v>feucht</v>
      </c>
      <c r="CF23" s="104">
        <f>(Massenstromrechnung!$X$4-(Massenstromrechnung!$X$3+CD23)/2)^Konstanten!$E$7*$AK23*$AL23^Konstanten!$F$7*(CD23-Massenstromrechnung!$X$3)^Konstanten!$G$7*((Massenstromrechnung!$X$3+CD23)/2)^Konstanten!$H$7*(Konstanten!$C$7-(CD23-Massenstromrechnung!$X$3)^Konstanten!$I$7*Konstanten!$D$7)</f>
        <v>2455.3738705030391</v>
      </c>
      <c r="CG23" s="104">
        <f>IF(CE23="trocken",CF23,IF(Konstanten!$A$18*(Massenstromrechnung!$Y$6^Konstanten!$B$18*(Massenstromrechnung!$X$4-(Iteration!CD23+Massenstromrechnung!$X$3)/2)^Konstanten!$C$18*CF23^Konstanten!$D$18*((Massenstromrechnung!$X$3+Iteration!CD23)/2)^Konstanten!$E$18+(Iteration!CD23-Massenstromrechnung!$X$3)^Konstanten!$F$18)&lt;1,CF23,CF23*Konstanten!$A$18*(Massenstromrechnung!$Y$6^Konstanten!$B$18*(Massenstromrechnung!$X$4-(Iteration!CD23+Massenstromrechnung!$X$3)/2)^Konstanten!$C$18*CF23^Konstanten!$D$18*((Massenstromrechnung!$X$3+Iteration!CD23)/2)^Konstanten!$E$18+(Iteration!CD23-Massenstromrechnung!$X$3)^Konstanten!$F$18)))</f>
        <v>3216.5380618633617</v>
      </c>
      <c r="CH23" s="101">
        <f>CG23/(Massenstromrechnung!$AA33*Konstanten!$K$3/3.6)+Massenstromrechnung!$X$3</f>
        <v>11.8740647627931</v>
      </c>
      <c r="CI23" s="103" t="str">
        <f>IF(OR(Massenstromrechnung!$Y$6&lt;(CH23*50+Massenstromrechnung!$X$3)/51,(Massenstromrechnung!$Y$6-(CH23*51+Massenstromrechnung!$X$3)/51)&lt;0.7),"trocken","feucht")</f>
        <v>feucht</v>
      </c>
      <c r="CJ23" s="104">
        <f>(Massenstromrechnung!$X$4-(Massenstromrechnung!$X$3+CH23)/2)^Konstanten!$E$7*$AK23*$AL23^Konstanten!$F$7*(CH23-Massenstromrechnung!$X$3)^Konstanten!$G$7*((Massenstromrechnung!$X$3+CH23)/2)^Konstanten!$H$7*(Konstanten!$C$7-(CH23-Massenstromrechnung!$X$3)^Konstanten!$I$7*Konstanten!$D$7)</f>
        <v>2520.1360473714067</v>
      </c>
      <c r="CK23" s="104">
        <f>IF(CI23="trocken",CJ23,IF(Konstanten!$A$18*(Massenstromrechnung!$Y$6^Konstanten!$B$18*(Massenstromrechnung!$X$4-(Iteration!CH23+Massenstromrechnung!$X$3)/2)^Konstanten!$C$18*CJ23^Konstanten!$D$18*((Massenstromrechnung!$X$3+Iteration!CH23)/2)^Konstanten!$E$18+(Iteration!CH23-Massenstromrechnung!$X$3)^Konstanten!$F$18)&lt;1,CJ23,CJ23*Konstanten!$A$18*(Massenstromrechnung!$Y$6^Konstanten!$B$18*(Massenstromrechnung!$X$4-(Iteration!CH23+Massenstromrechnung!$X$3)/2)^Konstanten!$C$18*CJ23^Konstanten!$D$18*((Massenstromrechnung!$X$3+Iteration!CH23)/2)^Konstanten!$E$18+(Iteration!CH23-Massenstromrechnung!$X$3)^Konstanten!$F$18)))</f>
        <v>3335.0112168705627</v>
      </c>
      <c r="CL23" s="101">
        <f>CK23/(Massenstromrechnung!$AA33*Konstanten!$K$3/3.6)+Massenstromrechnung!$X$3</f>
        <v>12.053588778692045</v>
      </c>
      <c r="CM23" s="103" t="str">
        <f>IF(OR(Massenstromrechnung!$Y$6&lt;(CL23*50+Massenstromrechnung!$X$3)/51,(Massenstromrechnung!$Y$6-(CL23*51+Massenstromrechnung!$X$3)/51)&lt;0.7),"trocken","feucht")</f>
        <v>feucht</v>
      </c>
      <c r="CN23" s="104">
        <f>(Massenstromrechnung!$X$4-(Massenstromrechnung!$X$3+CL23)/2)^Konstanten!$E$7*$AK23*$AL23^Konstanten!$F$7*(CL23-Massenstromrechnung!$X$3)^Konstanten!$G$7*((Massenstromrechnung!$X$3+CL23)/2)^Konstanten!$H$7*(Konstanten!$C$7-(CL23-Massenstromrechnung!$X$3)^Konstanten!$I$7*Konstanten!$D$7)</f>
        <v>2492.8339882990849</v>
      </c>
      <c r="CO23" s="104">
        <f>IF(CM23="trocken",CN23,IF(Konstanten!$A$18*(Massenstromrechnung!$Y$6^Konstanten!$B$18*(Massenstromrechnung!$X$4-(Iteration!CL23+Massenstromrechnung!$X$3)/2)^Konstanten!$C$18*CN23^Konstanten!$D$18*((Massenstromrechnung!$X$3+Iteration!CL23)/2)^Konstanten!$E$18+(Iteration!CL23-Massenstromrechnung!$X$3)^Konstanten!$F$18)&lt;1,CN23,CN23*Konstanten!$A$18*(Massenstromrechnung!$Y$6^Konstanten!$B$18*(Massenstromrechnung!$X$4-(Iteration!CL23+Massenstromrechnung!$X$3)/2)^Konstanten!$C$18*CN23^Konstanten!$D$18*((Massenstromrechnung!$X$3+Iteration!CL23)/2)^Konstanten!$E$18+(Iteration!CL23-Massenstromrechnung!$X$3)^Konstanten!$F$18)))</f>
        <v>3284.8510904285345</v>
      </c>
      <c r="CP23" s="101">
        <f>IF(CO23/(Massenstromrechnung!$AA33*Konstanten!$K$3/3.6)+Massenstromrechnung!$X$3-Massenstromrechnung!$X$3&lt;1.4,"RLT zu niedrig",CO23/(Massenstromrechnung!$AA33*Konstanten!$K$3/3.6)+Massenstromrechnung!$X$3)</f>
        <v>11.977580442995031</v>
      </c>
      <c r="CQ23" s="103" t="str">
        <f>IF(CP23="RLT zu niedrig","RLT zu niedrig",IF(OR(Massenstromrechnung!$Y$6&lt;(CP23*50+Massenstromrechnung!$X$3)/51,(Massenstromrechnung!$Y$6-(CP23*51+Massenstromrechnung!$X$3)/51)&lt;0.7),"trocken","feucht"))</f>
        <v>feucht</v>
      </c>
      <c r="CR23" s="104">
        <f>IF(CP23="RLT zu niedrig","RLT zu niedrig",(Massenstromrechnung!$X$4-(Massenstromrechnung!$X$3+CP23)/2)^Konstanten!$E$7*$AK23*$AL23^Konstanten!$F$7*(CP23-Massenstromrechnung!$X$3)^Konstanten!$G$7*((Massenstromrechnung!$X$3+CP23)/2)^Konstanten!$H$7*(Konstanten!$C$7-(CP23-Massenstromrechnung!$X$3)^Konstanten!$I$7*Konstanten!$D$7))</f>
        <v>2504.3007039602239</v>
      </c>
      <c r="CS23" s="104">
        <f>IF(CP23="RLT zu niedrig","RLT zu niedrig",IF(CQ23="trocken",CR23,IF(Konstanten!$A$18*(Massenstromrechnung!$Y$6^Konstanten!$B$18*(Massenstromrechnung!$X$4-(Iteration!CP23+Massenstromrechnung!$X$3)/2)^Konstanten!$C$18*CR23^Konstanten!$D$18*((Massenstromrechnung!$X$3+Iteration!CP23)/2)^Konstanten!$E$18+(Iteration!CP23-Massenstromrechnung!$X$3)^Konstanten!$F$18)&lt;1,CR23,CR23*Konstanten!$A$18*(Massenstromrechnung!$Y$6^Konstanten!$B$18*(Massenstromrechnung!$X$4-(Iteration!CP23+Massenstromrechnung!$X$3)/2)^Konstanten!$C$18*CR23^Konstanten!$D$18*((Massenstromrechnung!$X$3+Iteration!CP23)/2)^Konstanten!$E$18+(Iteration!CP23-Massenstromrechnung!$X$3)^Konstanten!$F$18))))</f>
        <v>3305.8804791637021</v>
      </c>
    </row>
    <row r="24" spans="1:97" x14ac:dyDescent="0.3">
      <c r="A24">
        <f>Massenstromrechnung!B34</f>
        <v>1890</v>
      </c>
      <c r="B24" s="27">
        <v>735</v>
      </c>
      <c r="C24" s="103">
        <f>IF(Massenstromrechnung!$K$3-10&lt;=Massenstromrechnung!$K$4,Massenstromrechnung!$K$3-0.75*(Massenstromrechnung!$K$3-Massenstromrechnung!$K$4),Massenstromrechnung!$K$3-10)</f>
        <v>65</v>
      </c>
      <c r="D24" s="103">
        <f>-1*((Massenstromrechnung!$K$3+C24)/2-Massenstromrechnung!$K$4)^Konstanten!$E$4*Massenstromrechnung!$B34*Massenstromrechnung!$C34^Konstanten!$F$4*(Massenstromrechnung!$K$3-C24)^Konstanten!$G$4*((Massenstromrechnung!$K$3+C24)/2)^Konstanten!$H$4*(Konstanten!$C$4-((Massenstromrechnung!$K$3-C24)^Konstanten!$I$4*Konstanten!$D$4))/(Massenstromrechnung!$F34*Konstanten!$K$3/3.6)+Massenstromrechnung!$K$3</f>
        <v>65</v>
      </c>
      <c r="E24" s="103">
        <f t="shared" si="6"/>
        <v>65</v>
      </c>
      <c r="F24" s="103">
        <f>-1*((Massenstromrechnung!$K$3+E24)/2-Massenstromrechnung!$K$4)^Konstanten!$E$4*Massenstromrechnung!$B34*Massenstromrechnung!$C34^Konstanten!$F$4*(Massenstromrechnung!$K$3-E24)^Konstanten!$G$4*((Massenstromrechnung!$K$3+E24)/2)^Konstanten!$H$4*(Konstanten!$C$4-((Massenstromrechnung!$K$3-E24)^Konstanten!$I$4*Konstanten!$D$4))/(Massenstromrechnung!$F34*Konstanten!$K$3/3.6)+Massenstromrechnung!$K$3</f>
        <v>65</v>
      </c>
      <c r="G24" s="103">
        <f t="shared" si="0"/>
        <v>65</v>
      </c>
      <c r="H24" s="103">
        <f>-1*((Massenstromrechnung!$K$3+G24)/2-Massenstromrechnung!$K$4)^Konstanten!$E$4*Massenstromrechnung!$B34*Massenstromrechnung!$C34^Konstanten!$F$4*(Massenstromrechnung!$K$3-G24)^Konstanten!$G$4*((Massenstromrechnung!$K$3+G24)/2)^Konstanten!$H$4*(Konstanten!$C$4-((Massenstromrechnung!$K$3-G24)^Konstanten!$I$4*Konstanten!$D$4))/(Massenstromrechnung!$F34*Konstanten!$K$3/3.6)+Massenstromrechnung!$K$3</f>
        <v>65</v>
      </c>
      <c r="I24" s="103">
        <f t="shared" si="1"/>
        <v>65</v>
      </c>
      <c r="J24" s="103">
        <f>-1*((Massenstromrechnung!$K$3+I24)/2-Massenstromrechnung!$K$4)^Konstanten!$E$4*Massenstromrechnung!$B34*Massenstromrechnung!$C34^Konstanten!$F$4*(Massenstromrechnung!$K$3-I24)^Konstanten!$G$4*((Massenstromrechnung!$K$3+I24)/2)^Konstanten!$H$4*(Konstanten!$C$4-((Massenstromrechnung!$K$3-I24)^Konstanten!$I$4*Konstanten!$D$4))/(Massenstromrechnung!$F34*Konstanten!$K$3/3.6)+Massenstromrechnung!$K$3</f>
        <v>65</v>
      </c>
      <c r="K24" s="103">
        <f t="shared" si="2"/>
        <v>65</v>
      </c>
      <c r="L24" s="103">
        <f>-1*((Massenstromrechnung!$K$3+K24)/2-Massenstromrechnung!$K$4)^Konstanten!$E$4*Massenstromrechnung!$B34*Massenstromrechnung!$C34^Konstanten!$F$4*(Massenstromrechnung!$K$3-K24)^Konstanten!$G$4*((Massenstromrechnung!$K$3+K24)/2)^Konstanten!$H$4*(Konstanten!$C$4-((Massenstromrechnung!$K$3-K24)^Konstanten!$I$4*Konstanten!$D$4))/(Massenstromrechnung!$F34*Konstanten!$K$3/3.6)+Massenstromrechnung!$K$3</f>
        <v>65</v>
      </c>
      <c r="N24">
        <f>'Katalogdaten M3G045'!B38</f>
        <v>1890</v>
      </c>
      <c r="O24" s="27">
        <v>735</v>
      </c>
      <c r="P24" s="103">
        <f>IF(Massenstromrechnung!$K$3-10&lt;=Massenstromrechnung!$K$4,Massenstromrechnung!$K$3-0.75*(Massenstromrechnung!$K$3-Massenstromrechnung!$K$4),Massenstromrechnung!$K$3-10)</f>
        <v>65</v>
      </c>
      <c r="Q24" s="103" t="e">
        <f>-1*((Massenstromrechnung!$K$3+P24)/2-Massenstromrechnung!$K$4)^Konstanten!$E$4*Massenstromrechnung!$B34*Massenstromrechnung!$C34^Konstanten!$F$4*(Massenstromrechnung!$K$3-P24)^Konstanten!$G$4*((Massenstromrechnung!$K$3+P24)/2)^Konstanten!$H$4*(Konstanten!$C$4-((Massenstromrechnung!$K$3-P24)^Konstanten!$I$4*Konstanten!$D$4))/(Massenstromrechnung!#REF!*Konstanten!$K$3/3.6)+Massenstromrechnung!$K$3</f>
        <v>#REF!</v>
      </c>
      <c r="R24" s="103" t="e">
        <f t="shared" si="7"/>
        <v>#REF!</v>
      </c>
      <c r="S24" s="103" t="e">
        <f>-1*((Massenstromrechnung!$K$3+R24)/2-Massenstromrechnung!$K$4)^Konstanten!$E$4*Massenstromrechnung!$B34*Massenstromrechnung!$C34^Konstanten!$F$4*(Massenstromrechnung!$K$3-R24)^Konstanten!$G$4*((Massenstromrechnung!$K$3+R24)/2)^Konstanten!$H$4*(Konstanten!$C$4-((Massenstromrechnung!$K$3-R24)^Konstanten!$I$4*Konstanten!$D$4))/(Massenstromrechnung!#REF!*Konstanten!$K$3/3.6)+Massenstromrechnung!$K$3</f>
        <v>#REF!</v>
      </c>
      <c r="T24" s="103" t="e">
        <f t="shared" si="3"/>
        <v>#REF!</v>
      </c>
      <c r="U24" s="103" t="e">
        <f>-1*((Massenstromrechnung!$K$3+T24)/2-Massenstromrechnung!$K$4)^Konstanten!$E$4*Massenstromrechnung!$B34*Massenstromrechnung!$C34^Konstanten!$F$4*(Massenstromrechnung!$K$3-T24)^Konstanten!$G$4*((Massenstromrechnung!$K$3+T24)/2)^Konstanten!$H$4*(Konstanten!$C$4-((Massenstromrechnung!$K$3-T24)^Konstanten!$I$4*Konstanten!$D$4))/(Massenstromrechnung!#REF!*Konstanten!$K$3/3.6)+Massenstromrechnung!$K$3</f>
        <v>#REF!</v>
      </c>
      <c r="V24" s="103" t="e">
        <f t="shared" si="4"/>
        <v>#REF!</v>
      </c>
      <c r="W24" s="103" t="e">
        <f>-1*((Massenstromrechnung!$K$3+V24)/2-Massenstromrechnung!$K$4)^Konstanten!$E$4*Massenstromrechnung!$B34*Massenstromrechnung!$C34^Konstanten!$F$4*(Massenstromrechnung!$K$3-V24)^Konstanten!$G$4*((Massenstromrechnung!$K$3+V24)/2)^Konstanten!$H$4*(Konstanten!$C$4-((Massenstromrechnung!$K$3-V24)^Konstanten!$I$4*Konstanten!$D$4))/(Massenstromrechnung!#REF!*Konstanten!$K$3/3.6)+Massenstromrechnung!$K$3</f>
        <v>#REF!</v>
      </c>
      <c r="X24" s="103" t="e">
        <f t="shared" si="5"/>
        <v>#REF!</v>
      </c>
      <c r="Y24" s="103" t="e">
        <f>-1*((Massenstromrechnung!$K$3+X24)/2-Massenstromrechnung!$K$4)^Konstanten!$E$4*Massenstromrechnung!$B34*Massenstromrechnung!$C34^Konstanten!$F$4*(Massenstromrechnung!$K$3-X24)^Konstanten!$G$4*((Massenstromrechnung!$K$3+X24)/2)^Konstanten!$H$4*(Konstanten!$C$4-((Massenstromrechnung!$K$3-X24)^Konstanten!$I$4*Konstanten!$D$4))/(Massenstromrechnung!#REF!*Konstanten!$K$3/3.6)+Massenstromrechnung!$K$3</f>
        <v>#REF!</v>
      </c>
      <c r="AA24">
        <f t="shared" si="8"/>
        <v>1890</v>
      </c>
      <c r="AB24">
        <f t="shared" si="8"/>
        <v>735</v>
      </c>
      <c r="AC24" s="103">
        <f>IF(Massenstromrechnung!$K$3-10&lt;=Massenstromrechnung!$K$4,Massenstromrechnung!$K$3-0.75*(Massenstromrechnung!$K$3-Massenstromrechnung!$K$4),Massenstromrechnung!$K$3-10)</f>
        <v>65</v>
      </c>
      <c r="AD24" s="103">
        <f>-1*((Massenstromrechnung!$K$3+AC24)/2-Massenstromrechnung!$K$4)^Konstanten!$E$5*$AA24*$AB24^Konstanten!$F$5*(Massenstromrechnung!$K$3-AC24)^Konstanten!$G$5*((Massenstromrechnung!$K$3+AC24)/2)^Konstanten!$H$5*(Konstanten!$C$5-((Massenstromrechnung!$K$3-AC24)^Konstanten!$I$5*Konstanten!$D$5))/(Massenstromrechnung!$L34*Konstanten!$K$3/3.6)+Massenstromrechnung!$K$3</f>
        <v>65</v>
      </c>
      <c r="AE24" s="103">
        <f>-1*((Massenstromrechnung!$K$3+AD24)/2-Massenstromrechnung!$K$4)^Konstanten!$E$5*$AA24*$AB24^Konstanten!$F$5*(Massenstromrechnung!$K$3-AD24)^Konstanten!$G$5*((Massenstromrechnung!$K$3+AD24)/2)^Konstanten!$H$5*(Konstanten!$C$5-((Massenstromrechnung!$K$3-AD24)^Konstanten!$I$5*Konstanten!$D$5))/(Massenstromrechnung!$L34*Konstanten!$K$3/3.6)+Massenstromrechnung!$K$3</f>
        <v>65</v>
      </c>
      <c r="AF24" s="103">
        <f>-1*((Massenstromrechnung!$K$3+AE24)/2-Massenstromrechnung!$K$4)^Konstanten!$E$5*$AA24*$AB24^Konstanten!$F$5*(Massenstromrechnung!$K$3-AE24)^Konstanten!$G$5*((Massenstromrechnung!$K$3+AE24)/2)^Konstanten!$H$5*(Konstanten!$C$5-((Massenstromrechnung!$K$3-AE24)^Konstanten!$I$5*Konstanten!$D$5))/(Massenstromrechnung!$L34*Konstanten!$K$3/3.6)+Massenstromrechnung!$K$3</f>
        <v>65</v>
      </c>
      <c r="AG24" s="103">
        <f>-1*((Massenstromrechnung!$K$3+AF24)/2-Massenstromrechnung!$K$4)^Konstanten!$E$5*$AA24*$AB24^Konstanten!$F$5*(Massenstromrechnung!$K$3-AF24)^Konstanten!$G$5*((Massenstromrechnung!$K$3+AF24)/2)^Konstanten!$H$5*(Konstanten!$C$5-((Massenstromrechnung!$K$3-AF24)^Konstanten!$I$5*Konstanten!$D$5))/(Massenstromrechnung!$L34*Konstanten!$K$3/3.6)+Massenstromrechnung!$K$3</f>
        <v>65</v>
      </c>
      <c r="AH24" s="103">
        <f>-1*((Massenstromrechnung!$K$3+AG24)/2-Massenstromrechnung!$K$4)^Konstanten!$E$5*$AA24*$AB24^Konstanten!$F$5*(Massenstromrechnung!$K$3-AG24)^Konstanten!$G$5*((Massenstromrechnung!$K$3+AG24)/2)^Konstanten!$H$5*(Konstanten!$C$5-((Massenstromrechnung!$K$3-AG24)^Konstanten!$I$5*Konstanten!$D$5))/(Massenstromrechnung!$L34*Konstanten!$K$3/3.6)+Massenstromrechnung!$K$3</f>
        <v>65</v>
      </c>
      <c r="AI24" s="103">
        <f>-1*((Massenstromrechnung!$K$3+AH24)/2-Massenstromrechnung!$K$4)^Konstanten!$E$5*$AA24*$AB24^Konstanten!$F$5*(Massenstromrechnung!$K$3-AH24)^Konstanten!$G$5*((Massenstromrechnung!$K$3+AH24)/2)^Konstanten!$H$5*(Konstanten!$C$5-((Massenstromrechnung!$K$3-AH24)^Konstanten!$I$5*Konstanten!$D$5))/(Massenstromrechnung!$L34*Konstanten!$K$3/3.6)+Massenstromrechnung!$K$3</f>
        <v>65</v>
      </c>
      <c r="AK24">
        <f t="shared" si="9"/>
        <v>1890</v>
      </c>
      <c r="AL24">
        <f t="shared" si="9"/>
        <v>735</v>
      </c>
      <c r="AM24" s="103">
        <f>Massenstromrechnung!$X$3+2</f>
        <v>9</v>
      </c>
      <c r="AN24" s="103" t="str">
        <f>IF(OR(Massenstromrechnung!$Y$6&lt;(AM24*50+Massenstromrechnung!$X$3)/51,(Massenstromrechnung!$Y$6-(AM24*51+Massenstromrechnung!$X$3)/51)&lt;0.7),"trocken","feucht")</f>
        <v>feucht</v>
      </c>
      <c r="AO24" s="104">
        <f>(Massenstromrechnung!$X$4-(Massenstromrechnung!$X$3+AM24)/2)^Konstanten!$E$6*$AK24*$AL24^Konstanten!$F$6*(AM24-Massenstromrechnung!$X$3)^Konstanten!$G$6*((Massenstromrechnung!$X$3+AM24)/2)^Konstanten!$H$6*(Konstanten!$C$6-(AM24-Massenstromrechnung!$X$3)^Konstanten!$I$6*Konstanten!$D$6)</f>
        <v>1889.0672182781734</v>
      </c>
      <c r="AP24" s="104">
        <f>IF(AN24="trocken",AO24,IF(Konstanten!$A$18*(Massenstromrechnung!$Y$6^Konstanten!$B$18*(Massenstromrechnung!$X$4-(Iteration!AM24+Massenstromrechnung!$X$3)/2)^Konstanten!$C$18*AO24^Konstanten!$D$18*((Massenstromrechnung!$X$3+Iteration!AM24)/2)^Konstanten!$E$18+(Iteration!AM24-Massenstromrechnung!$X$3)^Konstanten!$F$18)&lt;1,AO24,AO24*Konstanten!$A$18*(Massenstromrechnung!$Y$6^Konstanten!$B$18*(Massenstromrechnung!$X$4-(Iteration!AM24+Massenstromrechnung!$X$3)/2)^Konstanten!$C$18*AO24^Konstanten!$D$18*((Massenstromrechnung!$X$3+Iteration!AM24)/2)^Konstanten!$E$18+(Iteration!AM24-Massenstromrechnung!$X$3)^Konstanten!$F$18)))</f>
        <v>2776.4604125043925</v>
      </c>
      <c r="AQ24" s="101">
        <f>AP24/(Massenstromrechnung!$R34*Konstanten!$K$3/3.6)+Massenstromrechnung!$X$3</f>
        <v>13.219655405647162</v>
      </c>
      <c r="AR24" s="103" t="str">
        <f>IF(OR(Massenstromrechnung!$Y$6&lt;(AQ24*50+Massenstromrechnung!$X$3)/51,(Massenstromrechnung!$Y$6-(AQ24*51+Massenstromrechnung!$X$3)/51)&lt;0.7),"trocken","feucht")</f>
        <v>feucht</v>
      </c>
      <c r="AS24" s="104">
        <f>(Massenstromrechnung!$X$4-(Massenstromrechnung!$X$3+AQ24)/2)^Konstanten!$E$6*$AK24*$AL24^Konstanten!$F$6*(AQ24-Massenstromrechnung!$X$3)^Konstanten!$G$6*((Massenstromrechnung!$X$3+AQ24)/2)^Konstanten!$H$6*(Konstanten!$C$6-(AQ24-Massenstromrechnung!$X$3)^Konstanten!$I$6*Konstanten!$D$6)</f>
        <v>1578.1535436336089</v>
      </c>
      <c r="AT24" s="104">
        <f>IF(AR24="trocken",AS24,IF(Konstanten!$A$18*(Massenstromrechnung!$Y$6^Konstanten!$B$18*(Massenstromrechnung!$X$4-(Iteration!AQ24+Massenstromrechnung!$X$3)/2)^Konstanten!$C$18*AS24^Konstanten!$D$18*((Massenstromrechnung!$X$3+Iteration!AQ24)/2)^Konstanten!$E$18+(Iteration!AQ24-Massenstromrechnung!$X$3)^Konstanten!$F$18)&lt;1,AS24,AS24*Konstanten!$A$18*(Massenstromrechnung!$Y$6^Konstanten!$B$18*(Massenstromrechnung!$X$4-(Iteration!AQ24+Massenstromrechnung!$X$3)/2)^Konstanten!$C$18*AS24^Konstanten!$D$18*((Massenstromrechnung!$X$3+Iteration!AQ24)/2)^Konstanten!$E$18+(Iteration!AQ24-Massenstromrechnung!$X$3)^Konstanten!$F$18)))</f>
        <v>2051.0339499693264</v>
      </c>
      <c r="AU24" s="101">
        <f>AT24/(Massenstromrechnung!$R34*Konstanten!$K$3/3.6)+Massenstromrechnung!$X$3</f>
        <v>11.594599777702534</v>
      </c>
      <c r="AV24" s="103" t="str">
        <f>IF(OR(Massenstromrechnung!$Y$6&lt;(AU24*50+Massenstromrechnung!$X$3)/51,(Massenstromrechnung!$Y$6-(AU24*51+Massenstromrechnung!$X$3)/51)&lt;0.7),"trocken","feucht")</f>
        <v>feucht</v>
      </c>
      <c r="AW24" s="104">
        <f>(Massenstromrechnung!$X$4-(Massenstromrechnung!$X$3+AU24)/2)^Konstanten!$E$6*$AK24*$AL24^Konstanten!$F$6*(AU24-Massenstromrechnung!$X$3)^Konstanten!$G$6*((Massenstromrechnung!$X$3+AU24)/2)^Konstanten!$H$6*(Konstanten!$C$6-(AU24-Massenstromrechnung!$X$3)^Konstanten!$I$6*Konstanten!$D$6)</f>
        <v>1703.9416393472984</v>
      </c>
      <c r="AX24" s="104">
        <f>IF(AV24="trocken",AW24,IF(Konstanten!$A$18*(Massenstromrechnung!$Y$6^Konstanten!$B$18*(Massenstromrechnung!$X$4-(Iteration!AU24+Massenstromrechnung!$X$3)/2)^Konstanten!$C$18*AW24^Konstanten!$D$18*((Massenstromrechnung!$X$3+Iteration!AU24)/2)^Konstanten!$E$18+(Iteration!AU24-Massenstromrechnung!$X$3)^Konstanten!$F$18)&lt;1,AW24,AW24*Konstanten!$A$18*(Massenstromrechnung!$Y$6^Konstanten!$B$18*(Massenstromrechnung!$X$4-(Iteration!AU24+Massenstromrechnung!$X$3)/2)^Konstanten!$C$18*AW24^Konstanten!$D$18*((Massenstromrechnung!$X$3+Iteration!AU24)/2)^Konstanten!$E$18+(Iteration!AU24-Massenstromrechnung!$X$3)^Konstanten!$F$18)))</f>
        <v>2298.1064253637946</v>
      </c>
      <c r="AY24" s="101">
        <f>AX24/(Massenstromrechnung!$R34*Konstanten!$K$3/3.6)+Massenstromrechnung!$X$3</f>
        <v>12.148076301355797</v>
      </c>
      <c r="AZ24" s="103" t="str">
        <f>IF(OR(Massenstromrechnung!$Y$6&lt;(AY24*50+Massenstromrechnung!$X$3)/51,(Massenstromrechnung!$Y$6-(AY24*51+Massenstromrechnung!$X$3)/51)&lt;0.7),"trocken","feucht")</f>
        <v>feucht</v>
      </c>
      <c r="BA24" s="104">
        <f>(Massenstromrechnung!$X$4-(Massenstromrechnung!$X$3+AY24)/2)^Konstanten!$E$6*$AK24*$AL24^Konstanten!$F$6*(AY24-Massenstromrechnung!$X$3)^Konstanten!$G$6*((Massenstromrechnung!$X$3+AY24)/2)^Konstanten!$H$6*(Konstanten!$C$6-(AY24-Massenstromrechnung!$X$3)^Konstanten!$I$6*Konstanten!$D$6)</f>
        <v>1659.8704695753397</v>
      </c>
      <c r="BB24" s="104">
        <f>IF(AZ24="trocken",BA24,IF(Konstanten!$A$18*(Massenstromrechnung!$Y$6^Konstanten!$B$18*(Massenstromrechnung!$X$4-(Iteration!AY24+Massenstromrechnung!$X$3)/2)^Konstanten!$C$18*BA24^Konstanten!$D$18*((Massenstromrechnung!$X$3+Iteration!AY24)/2)^Konstanten!$E$18+(Iteration!AY24-Massenstromrechnung!$X$3)^Konstanten!$F$18)&lt;1,BA24,BA24*Konstanten!$A$18*(Massenstromrechnung!$Y$6^Konstanten!$B$18*(Massenstromrechnung!$X$4-(Iteration!AY24+Massenstromrechnung!$X$3)/2)^Konstanten!$C$18*BA24^Konstanten!$D$18*((Massenstromrechnung!$X$3+Iteration!AY24)/2)^Konstanten!$E$18+(Iteration!AY24-Massenstromrechnung!$X$3)^Konstanten!$F$18)))</f>
        <v>2208.6377413492437</v>
      </c>
      <c r="BC24" s="101">
        <f>BB24/(Massenstromrechnung!$R34*Konstanten!$K$3/3.6)+Massenstromrechnung!$X$3</f>
        <v>11.947654072513245</v>
      </c>
      <c r="BD24" s="103" t="str">
        <f>IF(OR(Massenstromrechnung!$Y$6&lt;(BC24*50+Massenstromrechnung!$X$3)/51,(Massenstromrechnung!$Y$6-(BC24*51+Massenstromrechnung!$X$3)/51)&lt;0.7),"trocken","feucht")</f>
        <v>feucht</v>
      </c>
      <c r="BE24" s="104">
        <f>(Massenstromrechnung!$X$4-(Massenstromrechnung!$X$3+BC24)/2)^Konstanten!$E$6*$AK24*$AL24^Konstanten!$F$6*(BC24-Massenstromrechnung!$X$3)^Konstanten!$G$6*((Massenstromrechnung!$X$3+BC24)/2)^Konstanten!$H$6*(Konstanten!$C$6-(BC24-Massenstromrechnung!$X$3)^Konstanten!$I$6*Konstanten!$D$6)</f>
        <v>1675.6983757672913</v>
      </c>
      <c r="BF24" s="104">
        <f>IF(BD24="trocken",BE24,IF(Konstanten!$A$18*(Massenstromrechnung!$Y$6^Konstanten!$B$18*(Massenstromrechnung!$X$4-(Iteration!BC24+Massenstromrechnung!$X$3)/2)^Konstanten!$C$18*BE24^Konstanten!$D$18*((Massenstromrechnung!$X$3+Iteration!BC24)/2)^Konstanten!$E$18+(Iteration!BC24-Massenstromrechnung!$X$3)^Konstanten!$F$18)&lt;1,BE24,BE24*Konstanten!$A$18*(Massenstromrechnung!$Y$6^Konstanten!$B$18*(Massenstromrechnung!$X$4-(Iteration!BC24+Massenstromrechnung!$X$3)/2)^Konstanten!$C$18*BE24^Konstanten!$D$18*((Massenstromrechnung!$X$3+Iteration!BC24)/2)^Konstanten!$E$18+(Iteration!BC24-Massenstromrechnung!$X$3)^Konstanten!$F$18)))</f>
        <v>2240.3635962640724</v>
      </c>
      <c r="BG24" s="101">
        <f>BF24/(Massenstromrechnung!$R34*Konstanten!$K$3/3.6)+Massenstromrechnung!$X$3</f>
        <v>12.018724376318442</v>
      </c>
      <c r="BH24" s="103" t="str">
        <f>IF(OR(Massenstromrechnung!$Y$6&lt;(BG24*50+Massenstromrechnung!$X$3)/51,(Massenstromrechnung!$Y$6-(BG24*51+Massenstromrechnung!$X$3)/51)&lt;0.7),"trocken","feucht")</f>
        <v>feucht</v>
      </c>
      <c r="BI24" s="104">
        <f>(Massenstromrechnung!$X$4-(Massenstromrechnung!$X$3+BG24)/2)^Konstanten!$E$6*$AK24*$AL24^Konstanten!$F$6*(BG24-Massenstromrechnung!$X$3)^Konstanten!$G$6*((Massenstromrechnung!$X$3+BG24)/2)^Konstanten!$H$6*(Konstanten!$C$6-(BG24-Massenstromrechnung!$X$3)^Konstanten!$I$6*Konstanten!$D$6)</f>
        <v>1670.0676256776487</v>
      </c>
      <c r="BJ24" s="104">
        <f>IF(BH24="trocken",BI24,IF(Konstanten!$A$18*(Massenstromrechnung!$Y$6^Konstanten!$B$18*(Massenstromrechnung!$X$4-(Iteration!BG24+Massenstromrechnung!$X$3)/2)^Konstanten!$C$18*BI24^Konstanten!$D$18*((Massenstromrechnung!$X$3+Iteration!BG24)/2)^Konstanten!$E$18+(Iteration!BG24-Massenstromrechnung!$X$3)^Konstanten!$F$18)&lt;1,BI24,BI24*Konstanten!$A$18*(Massenstromrechnung!$Y$6^Konstanten!$B$18*(Massenstromrechnung!$X$4-(Iteration!BG24+Massenstromrechnung!$X$3)/2)^Konstanten!$C$18*BI24^Konstanten!$D$18*((Massenstromrechnung!$X$3+Iteration!BG24)/2)^Konstanten!$E$18+(Iteration!BG24-Massenstromrechnung!$X$3)^Konstanten!$F$18)))</f>
        <v>2229.0276247036745</v>
      </c>
      <c r="BK24" s="101">
        <f>IF(BJ24/(Massenstromrechnung!$R34*Konstanten!$K$3/3.6)+Massenstromrechnung!$X$3-Massenstromrechnung!$X$3&lt;1.4,"RLT zu niedrig",BJ24/(Massenstromrechnung!$R34*Konstanten!$K$3/3.6)+Massenstromrechnung!$X$3)</f>
        <v>11.993330231861581</v>
      </c>
      <c r="BL24" s="103" t="str">
        <f>IF(BK24="RLT zu niedrig","RLT zu niedrig",IF(OR(Massenstromrechnung!$Y$6&lt;(BK24*50+Massenstromrechnung!$X$3)/51,(Massenstromrechnung!$Y$6-(BK24*51+Massenstromrechnung!$X$3)/51)&lt;0.7),"trocken","feucht"))</f>
        <v>feucht</v>
      </c>
      <c r="BM24" s="104">
        <f>IF(BK24="RLT zu niedrig","RLT zu niedrig",(Massenstromrechnung!$X$4-(Massenstromrechnung!$X$3+BK24)/2)^Konstanten!$E$6*$AK24*$AL24^Konstanten!$F$6*(BK24-Massenstromrechnung!$X$3)^Konstanten!$G$6*((Massenstromrechnung!$X$3+BK24)/2)^Konstanten!$H$6*(Konstanten!$C$6-(BK24-Massenstromrechnung!$X$3)^Konstanten!$I$6*Konstanten!$D$6))</f>
        <v>1672.077305334738</v>
      </c>
      <c r="BN24" s="104">
        <f>IF(BK24="RLT zu niedrig","RLT zu niedrig",IF(BL24="trocken",BM24,IF(Konstanten!$A$18*(Massenstromrechnung!$Y$6^Konstanten!$B$18*(Massenstromrechnung!$X$4-(Iteration!BK24+Massenstromrechnung!$X$3)/2)^Konstanten!$C$18*BM24^Konstanten!$D$18*((Massenstromrechnung!$X$3+Iteration!BK24)/2)^Konstanten!$E$18+(Iteration!BK24-Massenstromrechnung!$X$3)^Konstanten!$F$18)&lt;1,BM24,BM24*Konstanten!$A$18*(Massenstromrechnung!$Y$6^Konstanten!$B$18*(Massenstromrechnung!$X$4-(Iteration!BK24+Massenstromrechnung!$X$3)/2)^Konstanten!$C$18*BM24^Konstanten!$D$18*((Massenstromrechnung!$X$3+Iteration!BK24)/2)^Konstanten!$E$18+(Iteration!BK24-Massenstromrechnung!$X$3)^Konstanten!$F$18))))</f>
        <v>2233.0671751126733</v>
      </c>
      <c r="BO24" s="101"/>
      <c r="BP24">
        <f t="shared" si="10"/>
        <v>1890</v>
      </c>
      <c r="BQ24">
        <f t="shared" si="10"/>
        <v>735</v>
      </c>
      <c r="BR24" s="103">
        <f>Massenstromrechnung!$X$3+2</f>
        <v>9</v>
      </c>
      <c r="BS24" s="103" t="str">
        <f>IF(OR(Massenstromrechnung!$Y$6&lt;(BR24*50+Massenstromrechnung!$X$3)/51,(Massenstromrechnung!$Y$6-(BR24*51+Massenstromrechnung!$X$3)/51)&lt;0.7),"trocken","feucht")</f>
        <v>feucht</v>
      </c>
      <c r="BT24" s="104">
        <f>(Massenstromrechnung!$X$4-(Massenstromrechnung!$X$3+BR24)/2)^Konstanten!$E$7*$AK24*$AL24^Konstanten!$F$7*(BR24-Massenstromrechnung!$X$3)^Konstanten!$G$7*((Massenstromrechnung!$X$3+BR24)/2)^Konstanten!$H$7*(Konstanten!$C$7-(BR24-Massenstromrechnung!$X$3)^Konstanten!$I$7*Konstanten!$D$7)</f>
        <v>2063.4888576887101</v>
      </c>
      <c r="BU24" s="104">
        <f>IF(BS24="trocken",BT24,IF(Konstanten!$A$18*(Massenstromrechnung!$Y$6^Konstanten!$B$18*(Massenstromrechnung!$X$4-(Iteration!BR24+Massenstromrechnung!$X$3)/2)^Konstanten!$C$18*BT24^Konstanten!$D$18*((Massenstromrechnung!$X$3+Iteration!BR24)/2)^Konstanten!$E$18+(Iteration!BR24-Massenstromrechnung!$X$3)^Konstanten!$F$18)&lt;1,BT24,BT24*Konstanten!$A$18*(Massenstromrechnung!$Y$6^Konstanten!$B$18*(Massenstromrechnung!$X$4-(Iteration!BR24+Massenstromrechnung!$X$3)/2)^Konstanten!$C$18*BT24^Konstanten!$D$18*((Massenstromrechnung!$X$3+Iteration!BR24)/2)^Konstanten!$E$18+(Iteration!BR24-Massenstromrechnung!$X$3)^Konstanten!$F$18)))</f>
        <v>3025.08262111366</v>
      </c>
      <c r="BV24" s="101">
        <f>BU24/(Massenstromrechnung!$AA34*Konstanten!$K$3/3.6)+Massenstromrechnung!$X$3</f>
        <v>13.897741029228291</v>
      </c>
      <c r="BW24" s="103" t="str">
        <f>IF(OR(Massenstromrechnung!$Y$6&lt;(BV24*50+Massenstromrechnung!$X$3)/51,(Massenstromrechnung!$Y$6-(BV24*51+Massenstromrechnung!$X$3)/51)&lt;0.7),"trocken","feucht")</f>
        <v>feucht</v>
      </c>
      <c r="BX24" s="104">
        <f>(Massenstromrechnung!$X$4-(Massenstromrechnung!$X$3+BV24)/2)^Konstanten!$E$7*$AK24*$AL24^Konstanten!$F$7*(BV24-Massenstromrechnung!$X$3)^Konstanten!$G$7*((Massenstromrechnung!$X$3+BV24)/2)^Konstanten!$H$7*(Konstanten!$C$7-(BV24-Massenstromrechnung!$X$3)^Konstanten!$I$7*Konstanten!$D$7)</f>
        <v>1474.8278633332197</v>
      </c>
      <c r="BY24" s="104">
        <f>IF(BW24="trocken",BX24,IF(Konstanten!$A$18*(Massenstromrechnung!$Y$6^Konstanten!$B$18*(Massenstromrechnung!$X$4-(Iteration!BV24+Massenstromrechnung!$X$3)/2)^Konstanten!$C$18*BX24^Konstanten!$D$18*((Massenstromrechnung!$X$3+Iteration!BV24)/2)^Konstanten!$E$18+(Iteration!BV24-Massenstromrechnung!$X$3)^Konstanten!$F$18)&lt;1,BX24,BX24*Konstanten!$A$18*(Massenstromrechnung!$Y$6^Konstanten!$B$18*(Massenstromrechnung!$X$4-(Iteration!BV24+Massenstromrechnung!$X$3)/2)^Konstanten!$C$18*BX24^Konstanten!$D$18*((Massenstromrechnung!$X$3+Iteration!BV24)/2)^Konstanten!$E$18+(Iteration!BV24-Massenstromrechnung!$X$3)^Konstanten!$F$18)))</f>
        <v>1893.2269882106846</v>
      </c>
      <c r="BZ24" s="101">
        <f>BY24/(Massenstromrechnung!$AA34*Konstanten!$K$3/3.6)+Massenstromrechnung!$X$3</f>
        <v>11.31690340722515</v>
      </c>
      <c r="CA24" s="103" t="str">
        <f>IF(OR(Massenstromrechnung!$Y$6&lt;(BZ24*50+Massenstromrechnung!$X$3)/51,(Massenstromrechnung!$Y$6-(BZ24*51+Massenstromrechnung!$X$3)/51)&lt;0.7),"trocken","feucht")</f>
        <v>feucht</v>
      </c>
      <c r="CB24" s="104">
        <f>(Massenstromrechnung!$X$4-(Massenstromrechnung!$X$3+BZ24)/2)^Konstanten!$E$7*$AK24*$AL24^Konstanten!$F$7*(BZ24-Massenstromrechnung!$X$3)^Konstanten!$G$7*((Massenstromrechnung!$X$3+BZ24)/2)^Konstanten!$H$7*(Konstanten!$C$7-(BZ24-Massenstromrechnung!$X$3)^Konstanten!$I$7*Konstanten!$D$7)</f>
        <v>1713.0299581070708</v>
      </c>
      <c r="CC24" s="104">
        <f>IF(CA24="trocken",CB24,IF(Konstanten!$A$18*(Massenstromrechnung!$Y$6^Konstanten!$B$18*(Massenstromrechnung!$X$4-(Iteration!BZ24+Massenstromrechnung!$X$3)/2)^Konstanten!$C$18*CB24^Konstanten!$D$18*((Massenstromrechnung!$X$3+Iteration!BZ24)/2)^Konstanten!$E$18+(Iteration!BZ24-Massenstromrechnung!$X$3)^Konstanten!$F$18)&lt;1,CB24,CB24*Konstanten!$A$18*(Massenstromrechnung!$Y$6^Konstanten!$B$18*(Massenstromrechnung!$X$4-(Iteration!BZ24+Massenstromrechnung!$X$3)/2)^Konstanten!$C$18*CB24^Konstanten!$D$18*((Massenstromrechnung!$X$3+Iteration!BZ24)/2)^Konstanten!$E$18+(Iteration!BZ24-Massenstromrechnung!$X$3)^Konstanten!$F$18)))</f>
        <v>2327.5750154240432</v>
      </c>
      <c r="CD24" s="101">
        <f>CC24/(Massenstromrechnung!$AA34*Konstanten!$K$3/3.6)+Massenstromrechnung!$X$3</f>
        <v>12.30729626041968</v>
      </c>
      <c r="CE24" s="103" t="str">
        <f>IF(OR(Massenstromrechnung!$Y$6&lt;(CD24*50+Massenstromrechnung!$X$3)/51,(Massenstromrechnung!$Y$6-(CD24*51+Massenstromrechnung!$X$3)/51)&lt;0.7),"trocken","feucht")</f>
        <v>feucht</v>
      </c>
      <c r="CF24" s="104">
        <f>(Massenstromrechnung!$X$4-(Massenstromrechnung!$X$3+CD24)/2)^Konstanten!$E$7*$AK24*$AL24^Konstanten!$F$7*(CD24-Massenstromrechnung!$X$3)^Konstanten!$G$7*((Massenstromrechnung!$X$3+CD24)/2)^Konstanten!$H$7*(Konstanten!$C$7-(CD24-Massenstromrechnung!$X$3)^Konstanten!$I$7*Konstanten!$D$7)</f>
        <v>1611.4952014576268</v>
      </c>
      <c r="CG24" s="104">
        <f>IF(CE24="trocken",CF24,IF(Konstanten!$A$18*(Massenstromrechnung!$Y$6^Konstanten!$B$18*(Massenstromrechnung!$X$4-(Iteration!CD24+Massenstromrechnung!$X$3)/2)^Konstanten!$C$18*CF24^Konstanten!$D$18*((Massenstromrechnung!$X$3+Iteration!CD24)/2)^Konstanten!$E$18+(Iteration!CD24-Massenstromrechnung!$X$3)^Konstanten!$F$18)&lt;1,CF24,CF24*Konstanten!$A$18*(Massenstromrechnung!$Y$6^Konstanten!$B$18*(Massenstromrechnung!$X$4-(Iteration!CD24+Massenstromrechnung!$X$3)/2)^Konstanten!$C$18*CF24^Konstanten!$D$18*((Massenstromrechnung!$X$3+Iteration!CD24)/2)^Konstanten!$E$18+(Iteration!CD24-Massenstromrechnung!$X$3)^Konstanten!$F$18)))</f>
        <v>2137.7504207418283</v>
      </c>
      <c r="CH24" s="101">
        <f>CG24/(Massenstromrechnung!$AA34*Konstanten!$K$3/3.6)+Massenstromrechnung!$X$3</f>
        <v>11.874461505442273</v>
      </c>
      <c r="CI24" s="103" t="str">
        <f>IF(OR(Massenstromrechnung!$Y$6&lt;(CH24*50+Massenstromrechnung!$X$3)/51,(Massenstromrechnung!$Y$6-(CH24*51+Massenstromrechnung!$X$3)/51)&lt;0.7),"trocken","feucht")</f>
        <v>feucht</v>
      </c>
      <c r="CJ24" s="104">
        <f>(Massenstromrechnung!$X$4-(Massenstromrechnung!$X$3+CH24)/2)^Konstanten!$E$7*$AK24*$AL24^Konstanten!$F$7*(CH24-Massenstromrechnung!$X$3)^Konstanten!$G$7*((Massenstromrechnung!$X$3+CH24)/2)^Konstanten!$H$7*(Konstanten!$C$7-(CH24-Massenstromrechnung!$X$3)^Konstanten!$I$7*Konstanten!$D$7)</f>
        <v>1653.8825914871813</v>
      </c>
      <c r="CK24" s="104">
        <f>IF(CI24="trocken",CJ24,IF(Konstanten!$A$18*(Massenstromrechnung!$Y$6^Konstanten!$B$18*(Massenstromrechnung!$X$4-(Iteration!CH24+Massenstromrechnung!$X$3)/2)^Konstanten!$C$18*CJ24^Konstanten!$D$18*((Massenstromrechnung!$X$3+Iteration!CH24)/2)^Konstanten!$E$18+(Iteration!CH24-Massenstromrechnung!$X$3)^Konstanten!$F$18)&lt;1,CJ24,CJ24*Konstanten!$A$18*(Massenstromrechnung!$Y$6^Konstanten!$B$18*(Massenstromrechnung!$X$4-(Iteration!CH24+Massenstromrechnung!$X$3)/2)^Konstanten!$C$18*CJ24^Konstanten!$D$18*((Massenstromrechnung!$X$3+Iteration!CH24)/2)^Konstanten!$E$18+(Iteration!CH24-Massenstromrechnung!$X$3)^Konstanten!$F$18)))</f>
        <v>2216.217219995237</v>
      </c>
      <c r="CL24" s="101">
        <f>CK24/(Massenstromrechnung!$AA34*Konstanten!$K$3/3.6)+Massenstromrechnung!$X$3</f>
        <v>12.053380142858927</v>
      </c>
      <c r="CM24" s="103" t="str">
        <f>IF(OR(Massenstromrechnung!$Y$6&lt;(CL24*50+Massenstromrechnung!$X$3)/51,(Massenstromrechnung!$Y$6-(CL24*51+Massenstromrechnung!$X$3)/51)&lt;0.7),"trocken","feucht")</f>
        <v>feucht</v>
      </c>
      <c r="CN24" s="104">
        <f>(Massenstromrechnung!$X$4-(Massenstromrechnung!$X$3+CL24)/2)^Konstanten!$E$7*$AK24*$AL24^Konstanten!$F$7*(CL24-Massenstromrechnung!$X$3)^Konstanten!$G$7*((Massenstromrechnung!$X$3+CL24)/2)^Konstanten!$H$7*(Konstanten!$C$7-(CL24-Massenstromrechnung!$X$3)^Konstanten!$I$7*Konstanten!$D$7)</f>
        <v>1636.0254035739551</v>
      </c>
      <c r="CO24" s="104">
        <f>IF(CM24="trocken",CN24,IF(Konstanten!$A$18*(Massenstromrechnung!$Y$6^Konstanten!$B$18*(Massenstromrechnung!$X$4-(Iteration!CL24+Massenstromrechnung!$X$3)/2)^Konstanten!$C$18*CN24^Konstanten!$D$18*((Massenstromrechnung!$X$3+Iteration!CL24)/2)^Konstanten!$E$18+(Iteration!CL24-Massenstromrechnung!$X$3)^Konstanten!$F$18)&lt;1,CN24,CN24*Konstanten!$A$18*(Massenstromrechnung!$Y$6^Konstanten!$B$18*(Massenstromrechnung!$X$4-(Iteration!CL24+Massenstromrechnung!$X$3)/2)^Konstanten!$C$18*CN24^Konstanten!$D$18*((Massenstromrechnung!$X$3+Iteration!CL24)/2)^Konstanten!$E$18+(Iteration!CL24-Massenstromrechnung!$X$3)^Konstanten!$F$18)))</f>
        <v>2183.0192306771896</v>
      </c>
      <c r="CP24" s="101">
        <f>IF(CO24/(Massenstromrechnung!$AA34*Konstanten!$K$3/3.6)+Massenstromrechnung!$X$3-Massenstromrechnung!$X$3&lt;1.4,"RLT zu niedrig",CO24/(Massenstromrechnung!$AA34*Konstanten!$K$3/3.6)+Massenstromrechnung!$X$3)</f>
        <v>11.977682662264934</v>
      </c>
      <c r="CQ24" s="103" t="str">
        <f>IF(CP24="RLT zu niedrig","RLT zu niedrig",IF(OR(Massenstromrechnung!$Y$6&lt;(CP24*50+Massenstromrechnung!$X$3)/51,(Massenstromrechnung!$Y$6-(CP24*51+Massenstromrechnung!$X$3)/51)&lt;0.7),"trocken","feucht"))</f>
        <v>feucht</v>
      </c>
      <c r="CR24" s="104">
        <f>IF(CP24="RLT zu niedrig","RLT zu niedrig",(Massenstromrechnung!$X$4-(Massenstromrechnung!$X$3+CP24)/2)^Konstanten!$E$7*$AK24*$AL24^Konstanten!$F$7*(CP24-Massenstromrechnung!$X$3)^Konstanten!$G$7*((Massenstromrechnung!$X$3+CP24)/2)^Konstanten!$H$7*(Konstanten!$C$7-(CP24-Massenstromrechnung!$X$3)^Konstanten!$I$7*Konstanten!$D$7))</f>
        <v>1643.5200985443585</v>
      </c>
      <c r="CS24" s="104">
        <f>IF(CP24="RLT zu niedrig","RLT zu niedrig",IF(CQ24="trocken",CR24,IF(Konstanten!$A$18*(Massenstromrechnung!$Y$6^Konstanten!$B$18*(Massenstromrechnung!$X$4-(Iteration!CP24+Massenstromrechnung!$X$3)/2)^Konstanten!$C$18*CR24^Konstanten!$D$18*((Massenstromrechnung!$X$3+Iteration!CP24)/2)^Konstanten!$E$18+(Iteration!CP24-Massenstromrechnung!$X$3)^Konstanten!$F$18)&lt;1,CR24,CR24*Konstanten!$A$18*(Massenstromrechnung!$Y$6^Konstanten!$B$18*(Massenstromrechnung!$X$4-(Iteration!CP24+Massenstromrechnung!$X$3)/2)^Konstanten!$C$18*CR24^Konstanten!$D$18*((Massenstromrechnung!$X$3+Iteration!CP24)/2)^Konstanten!$E$18+(Iteration!CP24-Massenstromrechnung!$X$3)^Konstanten!$F$18))))</f>
        <v>2196.9278525673435</v>
      </c>
    </row>
    <row r="25" spans="1:97" x14ac:dyDescent="0.3">
      <c r="A25">
        <f>Massenstromrechnung!B35</f>
        <v>1890</v>
      </c>
      <c r="B25" s="27">
        <v>495</v>
      </c>
      <c r="C25" s="103">
        <f>IF(Massenstromrechnung!$K$3-10&lt;=Massenstromrechnung!$K$4,Massenstromrechnung!$K$3-0.75*(Massenstromrechnung!$K$3-Massenstromrechnung!$K$4),Massenstromrechnung!$K$3-10)</f>
        <v>65</v>
      </c>
      <c r="D25" s="103">
        <f>-1*((Massenstromrechnung!$K$3+C25)/2-Massenstromrechnung!$K$4)^Konstanten!$E$4*Massenstromrechnung!$B35*Massenstromrechnung!$C35^Konstanten!$F$4*(Massenstromrechnung!$K$3-C25)^Konstanten!$G$4*((Massenstromrechnung!$K$3+C25)/2)^Konstanten!$H$4*(Konstanten!$C$4-((Massenstromrechnung!$K$3-C25)^Konstanten!$I$4*Konstanten!$D$4))/(Massenstromrechnung!$F35*Konstanten!$K$3/3.6)+Massenstromrechnung!$K$3</f>
        <v>65</v>
      </c>
      <c r="E25" s="103">
        <f t="shared" si="6"/>
        <v>65</v>
      </c>
      <c r="F25" s="103">
        <f>-1*((Massenstromrechnung!$K$3+E25)/2-Massenstromrechnung!$K$4)^Konstanten!$E$4*Massenstromrechnung!$B35*Massenstromrechnung!$C35^Konstanten!$F$4*(Massenstromrechnung!$K$3-E25)^Konstanten!$G$4*((Massenstromrechnung!$K$3+E25)/2)^Konstanten!$H$4*(Konstanten!$C$4-((Massenstromrechnung!$K$3-E25)^Konstanten!$I$4*Konstanten!$D$4))/(Massenstromrechnung!$F35*Konstanten!$K$3/3.6)+Massenstromrechnung!$K$3</f>
        <v>65</v>
      </c>
      <c r="G25" s="103">
        <f t="shared" si="0"/>
        <v>65</v>
      </c>
      <c r="H25" s="103">
        <f>-1*((Massenstromrechnung!$K$3+G25)/2-Massenstromrechnung!$K$4)^Konstanten!$E$4*Massenstromrechnung!$B35*Massenstromrechnung!$C35^Konstanten!$F$4*(Massenstromrechnung!$K$3-G25)^Konstanten!$G$4*((Massenstromrechnung!$K$3+G25)/2)^Konstanten!$H$4*(Konstanten!$C$4-((Massenstromrechnung!$K$3-G25)^Konstanten!$I$4*Konstanten!$D$4))/(Massenstromrechnung!$F35*Konstanten!$K$3/3.6)+Massenstromrechnung!$K$3</f>
        <v>65</v>
      </c>
      <c r="I25" s="103">
        <f t="shared" si="1"/>
        <v>65</v>
      </c>
      <c r="J25" s="103">
        <f>-1*((Massenstromrechnung!$K$3+I25)/2-Massenstromrechnung!$K$4)^Konstanten!$E$4*Massenstromrechnung!$B35*Massenstromrechnung!$C35^Konstanten!$F$4*(Massenstromrechnung!$K$3-I25)^Konstanten!$G$4*((Massenstromrechnung!$K$3+I25)/2)^Konstanten!$H$4*(Konstanten!$C$4-((Massenstromrechnung!$K$3-I25)^Konstanten!$I$4*Konstanten!$D$4))/(Massenstromrechnung!$F35*Konstanten!$K$3/3.6)+Massenstromrechnung!$K$3</f>
        <v>65</v>
      </c>
      <c r="K25" s="103">
        <f t="shared" si="2"/>
        <v>65</v>
      </c>
      <c r="L25" s="103">
        <f>-1*((Massenstromrechnung!$K$3+K25)/2-Massenstromrechnung!$K$4)^Konstanten!$E$4*Massenstromrechnung!$B35*Massenstromrechnung!$C35^Konstanten!$F$4*(Massenstromrechnung!$K$3-K25)^Konstanten!$G$4*((Massenstromrechnung!$K$3+K25)/2)^Konstanten!$H$4*(Konstanten!$C$4-((Massenstromrechnung!$K$3-K25)^Konstanten!$I$4*Konstanten!$D$4))/(Massenstromrechnung!$F35*Konstanten!$K$3/3.6)+Massenstromrechnung!$K$3</f>
        <v>65</v>
      </c>
      <c r="N25">
        <f>'Katalogdaten M3G045'!B39</f>
        <v>1890</v>
      </c>
      <c r="O25" s="27">
        <v>495</v>
      </c>
      <c r="P25" s="103">
        <f>IF(Massenstromrechnung!$K$3-10&lt;=Massenstromrechnung!$K$4,Massenstromrechnung!$K$3-0.75*(Massenstromrechnung!$K$3-Massenstromrechnung!$K$4),Massenstromrechnung!$K$3-10)</f>
        <v>65</v>
      </c>
      <c r="Q25" s="103" t="e">
        <f>-1*((Massenstromrechnung!$K$3+P25)/2-Massenstromrechnung!$K$4)^Konstanten!$E$4*Massenstromrechnung!$B35*Massenstromrechnung!$C35^Konstanten!$F$4*(Massenstromrechnung!$K$3-P25)^Konstanten!$G$4*((Massenstromrechnung!$K$3+P25)/2)^Konstanten!$H$4*(Konstanten!$C$4-((Massenstromrechnung!$K$3-P25)^Konstanten!$I$4*Konstanten!$D$4))/(Massenstromrechnung!#REF!*Konstanten!$K$3/3.6)+Massenstromrechnung!$K$3</f>
        <v>#REF!</v>
      </c>
      <c r="R25" s="103" t="e">
        <f t="shared" si="7"/>
        <v>#REF!</v>
      </c>
      <c r="S25" s="103" t="e">
        <f>-1*((Massenstromrechnung!$K$3+R25)/2-Massenstromrechnung!$K$4)^Konstanten!$E$4*Massenstromrechnung!$B35*Massenstromrechnung!$C35^Konstanten!$F$4*(Massenstromrechnung!$K$3-R25)^Konstanten!$G$4*((Massenstromrechnung!$K$3+R25)/2)^Konstanten!$H$4*(Konstanten!$C$4-((Massenstromrechnung!$K$3-R25)^Konstanten!$I$4*Konstanten!$D$4))/(Massenstromrechnung!#REF!*Konstanten!$K$3/3.6)+Massenstromrechnung!$K$3</f>
        <v>#REF!</v>
      </c>
      <c r="T25" s="103" t="e">
        <f t="shared" si="3"/>
        <v>#REF!</v>
      </c>
      <c r="U25" s="103" t="e">
        <f>-1*((Massenstromrechnung!$K$3+T25)/2-Massenstromrechnung!$K$4)^Konstanten!$E$4*Massenstromrechnung!$B35*Massenstromrechnung!$C35^Konstanten!$F$4*(Massenstromrechnung!$K$3-T25)^Konstanten!$G$4*((Massenstromrechnung!$K$3+T25)/2)^Konstanten!$H$4*(Konstanten!$C$4-((Massenstromrechnung!$K$3-T25)^Konstanten!$I$4*Konstanten!$D$4))/(Massenstromrechnung!#REF!*Konstanten!$K$3/3.6)+Massenstromrechnung!$K$3</f>
        <v>#REF!</v>
      </c>
      <c r="V25" s="103" t="e">
        <f t="shared" si="4"/>
        <v>#REF!</v>
      </c>
      <c r="W25" s="103" t="e">
        <f>-1*((Massenstromrechnung!$K$3+V25)/2-Massenstromrechnung!$K$4)^Konstanten!$E$4*Massenstromrechnung!$B35*Massenstromrechnung!$C35^Konstanten!$F$4*(Massenstromrechnung!$K$3-V25)^Konstanten!$G$4*((Massenstromrechnung!$K$3+V25)/2)^Konstanten!$H$4*(Konstanten!$C$4-((Massenstromrechnung!$K$3-V25)^Konstanten!$I$4*Konstanten!$D$4))/(Massenstromrechnung!#REF!*Konstanten!$K$3/3.6)+Massenstromrechnung!$K$3</f>
        <v>#REF!</v>
      </c>
      <c r="X25" s="103" t="e">
        <f t="shared" si="5"/>
        <v>#REF!</v>
      </c>
      <c r="Y25" s="103" t="e">
        <f>-1*((Massenstromrechnung!$K$3+X25)/2-Massenstromrechnung!$K$4)^Konstanten!$E$4*Massenstromrechnung!$B35*Massenstromrechnung!$C35^Konstanten!$F$4*(Massenstromrechnung!$K$3-X25)^Konstanten!$G$4*((Massenstromrechnung!$K$3+X25)/2)^Konstanten!$H$4*(Konstanten!$C$4-((Massenstromrechnung!$K$3-X25)^Konstanten!$I$4*Konstanten!$D$4))/(Massenstromrechnung!#REF!*Konstanten!$K$3/3.6)+Massenstromrechnung!$K$3</f>
        <v>#REF!</v>
      </c>
      <c r="AA25">
        <f t="shared" si="8"/>
        <v>1890</v>
      </c>
      <c r="AB25">
        <f t="shared" si="8"/>
        <v>495</v>
      </c>
      <c r="AC25" s="103">
        <f>IF(Massenstromrechnung!$K$3-10&lt;=Massenstromrechnung!$K$4,Massenstromrechnung!$K$3-0.75*(Massenstromrechnung!$K$3-Massenstromrechnung!$K$4),Massenstromrechnung!$K$3-10)</f>
        <v>65</v>
      </c>
      <c r="AD25" s="103">
        <f>-1*((Massenstromrechnung!$K$3+AC25)/2-Massenstromrechnung!$K$4)^Konstanten!$E$5*$AA25*$AB25^Konstanten!$F$5*(Massenstromrechnung!$K$3-AC25)^Konstanten!$G$5*((Massenstromrechnung!$K$3+AC25)/2)^Konstanten!$H$5*(Konstanten!$C$5-((Massenstromrechnung!$K$3-AC25)^Konstanten!$I$5*Konstanten!$D$5))/(Massenstromrechnung!$L35*Konstanten!$K$3/3.6)+Massenstromrechnung!$K$3</f>
        <v>65</v>
      </c>
      <c r="AE25" s="103">
        <f>-1*((Massenstromrechnung!$K$3+AD25)/2-Massenstromrechnung!$K$4)^Konstanten!$E$5*$AA25*$AB25^Konstanten!$F$5*(Massenstromrechnung!$K$3-AD25)^Konstanten!$G$5*((Massenstromrechnung!$K$3+AD25)/2)^Konstanten!$H$5*(Konstanten!$C$5-((Massenstromrechnung!$K$3-AD25)^Konstanten!$I$5*Konstanten!$D$5))/(Massenstromrechnung!$L35*Konstanten!$K$3/3.6)+Massenstromrechnung!$K$3</f>
        <v>65</v>
      </c>
      <c r="AF25" s="103">
        <f>-1*((Massenstromrechnung!$K$3+AE25)/2-Massenstromrechnung!$K$4)^Konstanten!$E$5*$AA25*$AB25^Konstanten!$F$5*(Massenstromrechnung!$K$3-AE25)^Konstanten!$G$5*((Massenstromrechnung!$K$3+AE25)/2)^Konstanten!$H$5*(Konstanten!$C$5-((Massenstromrechnung!$K$3-AE25)^Konstanten!$I$5*Konstanten!$D$5))/(Massenstromrechnung!$L35*Konstanten!$K$3/3.6)+Massenstromrechnung!$K$3</f>
        <v>65</v>
      </c>
      <c r="AG25" s="103">
        <f>-1*((Massenstromrechnung!$K$3+AF25)/2-Massenstromrechnung!$K$4)^Konstanten!$E$5*$AA25*$AB25^Konstanten!$F$5*(Massenstromrechnung!$K$3-AF25)^Konstanten!$G$5*((Massenstromrechnung!$K$3+AF25)/2)^Konstanten!$H$5*(Konstanten!$C$5-((Massenstromrechnung!$K$3-AF25)^Konstanten!$I$5*Konstanten!$D$5))/(Massenstromrechnung!$L35*Konstanten!$K$3/3.6)+Massenstromrechnung!$K$3</f>
        <v>65</v>
      </c>
      <c r="AH25" s="103">
        <f>-1*((Massenstromrechnung!$K$3+AG25)/2-Massenstromrechnung!$K$4)^Konstanten!$E$5*$AA25*$AB25^Konstanten!$F$5*(Massenstromrechnung!$K$3-AG25)^Konstanten!$G$5*((Massenstromrechnung!$K$3+AG25)/2)^Konstanten!$H$5*(Konstanten!$C$5-((Massenstromrechnung!$K$3-AG25)^Konstanten!$I$5*Konstanten!$D$5))/(Massenstromrechnung!$L35*Konstanten!$K$3/3.6)+Massenstromrechnung!$K$3</f>
        <v>65</v>
      </c>
      <c r="AI25" s="103">
        <f>-1*((Massenstromrechnung!$K$3+AH25)/2-Massenstromrechnung!$K$4)^Konstanten!$E$5*$AA25*$AB25^Konstanten!$F$5*(Massenstromrechnung!$K$3-AH25)^Konstanten!$G$5*((Massenstromrechnung!$K$3+AH25)/2)^Konstanten!$H$5*(Konstanten!$C$5-((Massenstromrechnung!$K$3-AH25)^Konstanten!$I$5*Konstanten!$D$5))/(Massenstromrechnung!$L35*Konstanten!$K$3/3.6)+Massenstromrechnung!$K$3</f>
        <v>65</v>
      </c>
      <c r="AK25">
        <f t="shared" si="9"/>
        <v>1890</v>
      </c>
      <c r="AL25">
        <f t="shared" si="9"/>
        <v>495</v>
      </c>
      <c r="AM25" s="103">
        <f>Massenstromrechnung!$X$3+2</f>
        <v>9</v>
      </c>
      <c r="AN25" s="103" t="str">
        <f>IF(OR(Massenstromrechnung!$Y$6&lt;(AM25*50+Massenstromrechnung!$X$3)/51,(Massenstromrechnung!$Y$6-(AM25*51+Massenstromrechnung!$X$3)/51)&lt;0.7),"trocken","feucht")</f>
        <v>feucht</v>
      </c>
      <c r="AO25" s="104">
        <f>(Massenstromrechnung!$X$4-(Massenstromrechnung!$X$3+AM25)/2)^Konstanten!$E$6*$AK25*$AL25^Konstanten!$F$6*(AM25-Massenstromrechnung!$X$3)^Konstanten!$G$6*((Massenstromrechnung!$X$3+AM25)/2)^Konstanten!$H$6*(Konstanten!$C$6-(AM25-Massenstromrechnung!$X$3)^Konstanten!$I$6*Konstanten!$D$6)</f>
        <v>1059.9039061397325</v>
      </c>
      <c r="AP25" s="104">
        <f>IF(AN25="trocken",AO25,IF(Konstanten!$A$18*(Massenstromrechnung!$Y$6^Konstanten!$B$18*(Massenstromrechnung!$X$4-(Iteration!AM25+Massenstromrechnung!$X$3)/2)^Konstanten!$C$18*AO25^Konstanten!$D$18*((Massenstromrechnung!$X$3+Iteration!AM25)/2)^Konstanten!$E$18+(Iteration!AM25-Massenstromrechnung!$X$3)^Konstanten!$F$18)&lt;1,AO25,AO25*Konstanten!$A$18*(Massenstromrechnung!$Y$6^Konstanten!$B$18*(Massenstromrechnung!$X$4-(Iteration!AM25+Massenstromrechnung!$X$3)/2)^Konstanten!$C$18*AO25^Konstanten!$D$18*((Massenstromrechnung!$X$3+Iteration!AM25)/2)^Konstanten!$E$18+(Iteration!AM25-Massenstromrechnung!$X$3)^Konstanten!$F$18)))</f>
        <v>1584.0626149819693</v>
      </c>
      <c r="AQ25" s="101">
        <f>AP25/(Massenstromrechnung!$R35*Konstanten!$K$3/3.6)+Massenstromrechnung!$X$3</f>
        <v>13.216652566622672</v>
      </c>
      <c r="AR25" s="103" t="str">
        <f>IF(OR(Massenstromrechnung!$Y$6&lt;(AQ25*50+Massenstromrechnung!$X$3)/51,(Massenstromrechnung!$Y$6-(AQ25*51+Massenstromrechnung!$X$3)/51)&lt;0.7),"trocken","feucht")</f>
        <v>feucht</v>
      </c>
      <c r="AS25" s="104">
        <f>(Massenstromrechnung!$X$4-(Massenstromrechnung!$X$3+AQ25)/2)^Konstanten!$E$6*$AK25*$AL25^Konstanten!$F$6*(AQ25-Massenstromrechnung!$X$3)^Konstanten!$G$6*((Massenstromrechnung!$X$3+AQ25)/2)^Konstanten!$H$6*(Konstanten!$C$6-(AQ25-Massenstromrechnung!$X$3)^Konstanten!$I$6*Konstanten!$D$6)</f>
        <v>885.58325297251781</v>
      </c>
      <c r="AT25" s="104">
        <f>IF(AR25="trocken",AS25,IF(Konstanten!$A$18*(Massenstromrechnung!$Y$6^Konstanten!$B$18*(Massenstromrechnung!$X$4-(Iteration!AQ25+Massenstromrechnung!$X$3)/2)^Konstanten!$C$18*AS25^Konstanten!$D$18*((Massenstromrechnung!$X$3+Iteration!AQ25)/2)^Konstanten!$E$18+(Iteration!AQ25-Massenstromrechnung!$X$3)^Konstanten!$F$18)&lt;1,AS25,AS25*Konstanten!$A$18*(Massenstromrechnung!$Y$6^Konstanten!$B$18*(Massenstromrechnung!$X$4-(Iteration!AQ25+Massenstromrechnung!$X$3)/2)^Konstanten!$C$18*AS25^Konstanten!$D$18*((Massenstromrechnung!$X$3+Iteration!AQ25)/2)^Konstanten!$E$18+(Iteration!AQ25-Massenstromrechnung!$X$3)^Konstanten!$F$18)))</f>
        <v>1171.0789895920313</v>
      </c>
      <c r="AU25" s="101">
        <f>AT25/(Massenstromrechnung!$R35*Konstanten!$K$3/3.6)+Massenstromrechnung!$X$3</f>
        <v>11.595898632736848</v>
      </c>
      <c r="AV25" s="103" t="str">
        <f>IF(OR(Massenstromrechnung!$Y$6&lt;(AU25*50+Massenstromrechnung!$X$3)/51,(Massenstromrechnung!$Y$6-(AU25*51+Massenstromrechnung!$X$3)/51)&lt;0.7),"trocken","feucht")</f>
        <v>feucht</v>
      </c>
      <c r="AW25" s="104">
        <f>(Massenstromrechnung!$X$4-(Massenstromrechnung!$X$3+AU25)/2)^Konstanten!$E$6*$AK25*$AL25^Konstanten!$F$6*(AU25-Massenstromrechnung!$X$3)^Konstanten!$G$6*((Massenstromrechnung!$X$3+AU25)/2)^Konstanten!$H$6*(Konstanten!$C$6-(AU25-Massenstromrechnung!$X$3)^Konstanten!$I$6*Konstanten!$D$6)</f>
        <v>955.97628796588992</v>
      </c>
      <c r="AX25" s="104">
        <f>IF(AV25="trocken",AW25,IF(Konstanten!$A$18*(Massenstromrechnung!$Y$6^Konstanten!$B$18*(Massenstromrechnung!$X$4-(Iteration!AU25+Massenstromrechnung!$X$3)/2)^Konstanten!$C$18*AW25^Konstanten!$D$18*((Massenstromrechnung!$X$3+Iteration!AU25)/2)^Konstanten!$E$18+(Iteration!AU25-Massenstromrechnung!$X$3)^Konstanten!$F$18)&lt;1,AW25,AW25*Konstanten!$A$18*(Massenstromrechnung!$Y$6^Konstanten!$B$18*(Massenstromrechnung!$X$4-(Iteration!AU25+Massenstromrechnung!$X$3)/2)^Konstanten!$C$18*AW25^Konstanten!$D$18*((Massenstromrechnung!$X$3+Iteration!AU25)/2)^Konstanten!$E$18+(Iteration!AU25-Massenstromrechnung!$X$3)^Konstanten!$F$18)))</f>
        <v>1311.6107445251914</v>
      </c>
      <c r="AY25" s="101">
        <f>AX25/(Massenstromrechnung!$R35*Konstanten!$K$3/3.6)+Massenstromrechnung!$X$3</f>
        <v>12.147415401540309</v>
      </c>
      <c r="AZ25" s="103" t="str">
        <f>IF(OR(Massenstromrechnung!$Y$6&lt;(AY25*50+Massenstromrechnung!$X$3)/51,(Massenstromrechnung!$Y$6-(AY25*51+Massenstromrechnung!$X$3)/51)&lt;0.7),"trocken","feucht")</f>
        <v>feucht</v>
      </c>
      <c r="BA25" s="104">
        <f>(Massenstromrechnung!$X$4-(Massenstromrechnung!$X$3+AY25)/2)^Konstanten!$E$6*$AK25*$AL25^Konstanten!$F$6*(AY25-Massenstromrechnung!$X$3)^Konstanten!$G$6*((Massenstromrechnung!$X$3+AY25)/2)^Konstanten!$H$6*(Konstanten!$C$6-(AY25-Massenstromrechnung!$X$3)^Konstanten!$I$6*Konstanten!$D$6)</f>
        <v>931.33702027085963</v>
      </c>
      <c r="BB25" s="104">
        <f>IF(AZ25="trocken",BA25,IF(Konstanten!$A$18*(Massenstromrechnung!$Y$6^Konstanten!$B$18*(Massenstromrechnung!$X$4-(Iteration!AY25+Massenstromrechnung!$X$3)/2)^Konstanten!$C$18*BA25^Konstanten!$D$18*((Massenstromrechnung!$X$3+Iteration!AY25)/2)^Konstanten!$E$18+(Iteration!AY25-Massenstromrechnung!$X$3)^Konstanten!$F$18)&lt;1,BA25,BA25*Konstanten!$A$18*(Massenstromrechnung!$Y$6^Konstanten!$B$18*(Massenstromrechnung!$X$4-(Iteration!AY25+Massenstromrechnung!$X$3)/2)^Konstanten!$C$18*BA25^Konstanten!$D$18*((Massenstromrechnung!$X$3+Iteration!AY25)/2)^Konstanten!$E$18+(Iteration!AY25-Massenstromrechnung!$X$3)^Konstanten!$F$18)))</f>
        <v>1260.7829439021671</v>
      </c>
      <c r="BC25" s="101">
        <f>BB25/(Massenstromrechnung!$R35*Konstanten!$K$3/3.6)+Massenstromrechnung!$X$3</f>
        <v>11.947941735404639</v>
      </c>
      <c r="BD25" s="103" t="str">
        <f>IF(OR(Massenstromrechnung!$Y$6&lt;(BC25*50+Massenstromrechnung!$X$3)/51,(Massenstromrechnung!$Y$6-(BC25*51+Massenstromrechnung!$X$3)/51)&lt;0.7),"trocken","feucht")</f>
        <v>feucht</v>
      </c>
      <c r="BE25" s="104">
        <f>(Massenstromrechnung!$X$4-(Massenstromrechnung!$X$3+BC25)/2)^Konstanten!$E$6*$AK25*$AL25^Konstanten!$F$6*(BC25-Massenstromrechnung!$X$3)^Konstanten!$G$6*((Massenstromrechnung!$X$3+BC25)/2)^Konstanten!$H$6*(Konstanten!$C$6-(BC25-Massenstromrechnung!$X$3)^Konstanten!$I$6*Konstanten!$D$6)</f>
        <v>940.17567988160795</v>
      </c>
      <c r="BF25" s="104">
        <f>IF(BD25="trocken",BE25,IF(Konstanten!$A$18*(Massenstromrechnung!$Y$6^Konstanten!$B$18*(Massenstromrechnung!$X$4-(Iteration!BC25+Massenstromrechnung!$X$3)/2)^Konstanten!$C$18*BE25^Konstanten!$D$18*((Massenstromrechnung!$X$3+Iteration!BC25)/2)^Konstanten!$E$18+(Iteration!BC25-Massenstromrechnung!$X$3)^Konstanten!$F$18)&lt;1,BE25,BE25*Konstanten!$A$18*(Massenstromrechnung!$Y$6^Konstanten!$B$18*(Massenstromrechnung!$X$4-(Iteration!BC25+Massenstromrechnung!$X$3)/2)^Konstanten!$C$18*BE25^Konstanten!$D$18*((Massenstromrechnung!$X$3+Iteration!BC25)/2)^Konstanten!$E$18+(Iteration!BC25-Massenstromrechnung!$X$3)^Konstanten!$F$18)))</f>
        <v>1278.7874570599492</v>
      </c>
      <c r="BG25" s="101">
        <f>BF25/(Massenstromrechnung!$R35*Konstanten!$K$3/3.6)+Massenstromrechnung!$X$3</f>
        <v>12.018600434040987</v>
      </c>
      <c r="BH25" s="103" t="str">
        <f>IF(OR(Massenstromrechnung!$Y$6&lt;(BG25*50+Massenstromrechnung!$X$3)/51,(Massenstromrechnung!$Y$6-(BG25*51+Massenstromrechnung!$X$3)/51)&lt;0.7),"trocken","feucht")</f>
        <v>feucht</v>
      </c>
      <c r="BI25" s="104">
        <f>(Massenstromrechnung!$X$4-(Massenstromrechnung!$X$3+BG25)/2)^Konstanten!$E$6*$AK25*$AL25^Konstanten!$F$6*(BG25-Massenstromrechnung!$X$3)^Konstanten!$G$6*((Massenstromrechnung!$X$3+BG25)/2)^Konstanten!$H$6*(Konstanten!$C$6-(BG25-Massenstromrechnung!$X$3)^Konstanten!$I$6*Konstanten!$D$6)</f>
        <v>937.03472945382259</v>
      </c>
      <c r="BJ25" s="104">
        <f>IF(BH25="trocken",BI25,IF(Konstanten!$A$18*(Massenstromrechnung!$Y$6^Konstanten!$B$18*(Massenstromrechnung!$X$4-(Iteration!BG25+Massenstromrechnung!$X$3)/2)^Konstanten!$C$18*BI25^Konstanten!$D$18*((Massenstromrechnung!$X$3+Iteration!BG25)/2)^Konstanten!$E$18+(Iteration!BG25-Massenstromrechnung!$X$3)^Konstanten!$F$18)&lt;1,BI25,BI25*Konstanten!$A$18*(Massenstromrechnung!$Y$6^Konstanten!$B$18*(Massenstromrechnung!$X$4-(Iteration!BG25+Massenstromrechnung!$X$3)/2)^Konstanten!$C$18*BI25^Konstanten!$D$18*((Massenstromrechnung!$X$3+Iteration!BG25)/2)^Konstanten!$E$18+(Iteration!BG25-Massenstromrechnung!$X$3)^Konstanten!$F$18)))</f>
        <v>1272.3614611227974</v>
      </c>
      <c r="BK25" s="101">
        <f>IF(BJ25/(Massenstromrechnung!$R35*Konstanten!$K$3/3.6)+Massenstromrechnung!$X$3-Massenstromrechnung!$X$3&lt;1.4,"RLT zu niedrig",BJ25/(Massenstromrechnung!$R35*Konstanten!$K$3/3.6)+Massenstromrechnung!$X$3)</f>
        <v>11.993381617715185</v>
      </c>
      <c r="BL25" s="103" t="str">
        <f>IF(BK25="RLT zu niedrig","RLT zu niedrig",IF(OR(Massenstromrechnung!$Y$6&lt;(BK25*50+Massenstromrechnung!$X$3)/51,(Massenstromrechnung!$Y$6-(BK25*51+Massenstromrechnung!$X$3)/51)&lt;0.7),"trocken","feucht"))</f>
        <v>feucht</v>
      </c>
      <c r="BM25" s="104">
        <f>IF(BK25="RLT zu niedrig","RLT zu niedrig",(Massenstromrechnung!$X$4-(Massenstromrechnung!$X$3+BK25)/2)^Konstanten!$E$6*$AK25*$AL25^Konstanten!$F$6*(BK25-Massenstromrechnung!$X$3)^Konstanten!$G$6*((Massenstromrechnung!$X$3+BK25)/2)^Konstanten!$H$6*(Konstanten!$C$6-(BK25-Massenstromrechnung!$X$3)^Konstanten!$I$6*Konstanten!$D$6))</f>
        <v>938.15452261220264</v>
      </c>
      <c r="BN25" s="104">
        <f>IF(BK25="RLT zu niedrig","RLT zu niedrig",IF(BL25="trocken",BM25,IF(Konstanten!$A$18*(Massenstromrechnung!$Y$6^Konstanten!$B$18*(Massenstromrechnung!$X$4-(Iteration!BK25+Massenstromrechnung!$X$3)/2)^Konstanten!$C$18*BM25^Konstanten!$D$18*((Massenstromrechnung!$X$3+Iteration!BK25)/2)^Konstanten!$E$18+(Iteration!BK25-Massenstromrechnung!$X$3)^Konstanten!$F$18)&lt;1,BM25,BM25*Konstanten!$A$18*(Massenstromrechnung!$Y$6^Konstanten!$B$18*(Massenstromrechnung!$X$4-(Iteration!BK25+Massenstromrechnung!$X$3)/2)^Konstanten!$C$18*BM25^Konstanten!$D$18*((Massenstromrechnung!$X$3+Iteration!BK25)/2)^Konstanten!$E$18+(Iteration!BK25-Massenstromrechnung!$X$3)^Konstanten!$F$18))))</f>
        <v>1274.6488407998804</v>
      </c>
      <c r="BO25" s="101"/>
      <c r="BP25">
        <f t="shared" si="10"/>
        <v>1890</v>
      </c>
      <c r="BQ25">
        <f t="shared" si="10"/>
        <v>495</v>
      </c>
      <c r="BR25" s="103">
        <f>Massenstromrechnung!$X$3+2</f>
        <v>9</v>
      </c>
      <c r="BS25" s="103" t="str">
        <f>IF(OR(Massenstromrechnung!$Y$6&lt;(BR25*50+Massenstromrechnung!$X$3)/51,(Massenstromrechnung!$Y$6-(BR25*51+Massenstromrechnung!$X$3)/51)&lt;0.7),"trocken","feucht")</f>
        <v>feucht</v>
      </c>
      <c r="BT25" s="104">
        <f>(Massenstromrechnung!$X$4-(Massenstromrechnung!$X$3+BR25)/2)^Konstanten!$E$7*$AK25*$AL25^Konstanten!$F$7*(BR25-Massenstromrechnung!$X$3)^Konstanten!$G$7*((Massenstromrechnung!$X$3+BR25)/2)^Konstanten!$H$7*(Konstanten!$C$7-(BR25-Massenstromrechnung!$X$3)^Konstanten!$I$7*Konstanten!$D$7)</f>
        <v>1168.5048040783822</v>
      </c>
      <c r="BU25" s="104">
        <f>IF(BS25="trocken",BT25,IF(Konstanten!$A$18*(Massenstromrechnung!$Y$6^Konstanten!$B$18*(Massenstromrechnung!$X$4-(Iteration!BR25+Massenstromrechnung!$X$3)/2)^Konstanten!$C$18*BT25^Konstanten!$D$18*((Massenstromrechnung!$X$3+Iteration!BR25)/2)^Konstanten!$E$18+(Iteration!BR25-Massenstromrechnung!$X$3)^Konstanten!$F$18)&lt;1,BT25,BT25*Konstanten!$A$18*(Massenstromrechnung!$Y$6^Konstanten!$B$18*(Massenstromrechnung!$X$4-(Iteration!BR25+Massenstromrechnung!$X$3)/2)^Konstanten!$C$18*BT25^Konstanten!$D$18*((Massenstromrechnung!$X$3+Iteration!BR25)/2)^Konstanten!$E$18+(Iteration!BR25-Massenstromrechnung!$X$3)^Konstanten!$F$18)))</f>
        <v>1741.4459310429258</v>
      </c>
      <c r="BV25" s="101">
        <f>BU25/(Massenstromrechnung!$AA35*Konstanten!$K$3/3.6)+Massenstromrechnung!$X$3</f>
        <v>13.894439850717472</v>
      </c>
      <c r="BW25" s="103" t="str">
        <f>IF(OR(Massenstromrechnung!$Y$6&lt;(BV25*50+Massenstromrechnung!$X$3)/51,(Massenstromrechnung!$Y$6-(BV25*51+Massenstromrechnung!$X$3)/51)&lt;0.7),"trocken","feucht")</f>
        <v>feucht</v>
      </c>
      <c r="BX25" s="104">
        <f>(Massenstromrechnung!$X$4-(Massenstromrechnung!$X$3+BV25)/2)^Konstanten!$E$7*$AK25*$AL25^Konstanten!$F$7*(BV25-Massenstromrechnung!$X$3)^Konstanten!$G$7*((Massenstromrechnung!$X$3+BV25)/2)^Konstanten!$H$7*(Konstanten!$C$7-(BV25-Massenstromrechnung!$X$3)^Konstanten!$I$7*Konstanten!$D$7)</f>
        <v>835.30680216750409</v>
      </c>
      <c r="BY25" s="104">
        <f>IF(BW25="trocken",BX25,IF(Konstanten!$A$18*(Massenstromrechnung!$Y$6^Konstanten!$B$18*(Massenstromrechnung!$X$4-(Iteration!BV25+Massenstromrechnung!$X$3)/2)^Konstanten!$C$18*BX25^Konstanten!$D$18*((Massenstromrechnung!$X$3+Iteration!BV25)/2)^Konstanten!$E$18+(Iteration!BV25-Massenstromrechnung!$X$3)^Konstanten!$F$18)&lt;1,BX25,BX25*Konstanten!$A$18*(Massenstromrechnung!$Y$6^Konstanten!$B$18*(Massenstromrechnung!$X$4-(Iteration!BV25+Massenstromrechnung!$X$3)/2)^Konstanten!$C$18*BX25^Konstanten!$D$18*((Massenstromrechnung!$X$3+Iteration!BV25)/2)^Konstanten!$E$18+(Iteration!BV25-Massenstromrechnung!$X$3)^Konstanten!$F$18)))</f>
        <v>1090.7767596996794</v>
      </c>
      <c r="BZ25" s="101">
        <f>BY25/(Massenstromrechnung!$AA35*Konstanten!$K$3/3.6)+Massenstromrechnung!$X$3</f>
        <v>11.31841989823144</v>
      </c>
      <c r="CA25" s="103" t="str">
        <f>IF(OR(Massenstromrechnung!$Y$6&lt;(BZ25*50+Massenstromrechnung!$X$3)/51,(Massenstromrechnung!$Y$6-(BZ25*51+Massenstromrechnung!$X$3)/51)&lt;0.7),"trocken","feucht")</f>
        <v>feucht</v>
      </c>
      <c r="CB25" s="104">
        <f>(Massenstromrechnung!$X$4-(Massenstromrechnung!$X$3+BZ25)/2)^Konstanten!$E$7*$AK25*$AL25^Konstanten!$F$7*(BZ25-Massenstromrechnung!$X$3)^Konstanten!$G$7*((Massenstromrechnung!$X$3+BZ25)/2)^Konstanten!$H$7*(Konstanten!$C$7-(BZ25-Massenstromrechnung!$X$3)^Konstanten!$I$7*Konstanten!$D$7)</f>
        <v>969.95260055081519</v>
      </c>
      <c r="CC25" s="104">
        <f>IF(CA25="trocken",CB25,IF(Konstanten!$A$18*(Massenstromrechnung!$Y$6^Konstanten!$B$18*(Massenstromrechnung!$X$4-(Iteration!BZ25+Massenstromrechnung!$X$3)/2)^Konstanten!$C$18*CB25^Konstanten!$D$18*((Massenstromrechnung!$X$3+Iteration!BZ25)/2)^Konstanten!$E$18+(Iteration!BZ25-Massenstromrechnung!$X$3)^Konstanten!$F$18)&lt;1,CB25,CB25*Konstanten!$A$18*(Massenstromrechnung!$Y$6^Konstanten!$B$18*(Massenstromrechnung!$X$4-(Iteration!BZ25+Massenstromrechnung!$X$3)/2)^Konstanten!$C$18*CB25^Konstanten!$D$18*((Massenstromrechnung!$X$3+Iteration!BZ25)/2)^Konstanten!$E$18+(Iteration!BZ25-Massenstromrechnung!$X$3)^Konstanten!$F$18)))</f>
        <v>1340.2894059444409</v>
      </c>
      <c r="CD25" s="101">
        <f>CC25/(Massenstromrechnung!$AA35*Konstanten!$K$3/3.6)+Massenstromrechnung!$X$3</f>
        <v>12.306248403763979</v>
      </c>
      <c r="CE25" s="103" t="str">
        <f>IF(OR(Massenstromrechnung!$Y$6&lt;(CD25*50+Massenstromrechnung!$X$3)/51,(Massenstromrechnung!$Y$6-(CD25*51+Massenstromrechnung!$X$3)/51)&lt;0.7),"trocken","feucht")</f>
        <v>feucht</v>
      </c>
      <c r="CF25" s="104">
        <f>(Massenstromrechnung!$X$4-(Massenstromrechnung!$X$3+CD25)/2)^Konstanten!$E$7*$AK25*$AL25^Konstanten!$F$7*(CD25-Massenstromrechnung!$X$3)^Konstanten!$G$7*((Massenstromrechnung!$X$3+CD25)/2)^Konstanten!$H$7*(Konstanten!$C$7-(CD25-Massenstromrechnung!$X$3)^Konstanten!$I$7*Konstanten!$D$7)</f>
        <v>912.60779458934928</v>
      </c>
      <c r="CG25" s="104">
        <f>IF(CE25="trocken",CF25,IF(Konstanten!$A$18*(Massenstromrechnung!$Y$6^Konstanten!$B$18*(Massenstromrechnung!$X$4-(Iteration!CD25+Massenstromrechnung!$X$3)/2)^Konstanten!$C$18*CF25^Konstanten!$D$18*((Massenstromrechnung!$X$3+Iteration!CD25)/2)^Konstanten!$E$18+(Iteration!CD25-Massenstromrechnung!$X$3)^Konstanten!$F$18)&lt;1,CF25,CF25*Konstanten!$A$18*(Massenstromrechnung!$Y$6^Konstanten!$B$18*(Massenstromrechnung!$X$4-(Iteration!CD25+Massenstromrechnung!$X$3)/2)^Konstanten!$C$18*CF25^Konstanten!$D$18*((Massenstromrechnung!$X$3+Iteration!CD25)/2)^Konstanten!$E$18+(Iteration!CD25-Massenstromrechnung!$X$3)^Konstanten!$F$18)))</f>
        <v>1231.3587288475665</v>
      </c>
      <c r="CH25" s="101">
        <f>CG25/(Massenstromrechnung!$AA35*Konstanten!$K$3/3.6)+Massenstromrechnung!$X$3</f>
        <v>11.874988387156655</v>
      </c>
      <c r="CI25" s="103" t="str">
        <f>IF(OR(Massenstromrechnung!$Y$6&lt;(CH25*50+Massenstromrechnung!$X$3)/51,(Massenstromrechnung!$Y$6-(CH25*51+Massenstromrechnung!$X$3)/51)&lt;0.7),"trocken","feucht")</f>
        <v>feucht</v>
      </c>
      <c r="CJ25" s="104">
        <f>(Massenstromrechnung!$X$4-(Massenstromrechnung!$X$3+CH25)/2)^Konstanten!$E$7*$AK25*$AL25^Konstanten!$F$7*(CH25-Massenstromrechnung!$X$3)^Konstanten!$G$7*((Massenstromrechnung!$X$3+CH25)/2)^Konstanten!$H$7*(Konstanten!$C$7-(CH25-Massenstromrechnung!$X$3)^Konstanten!$I$7*Konstanten!$D$7)</f>
        <v>936.52429387960854</v>
      </c>
      <c r="CK25" s="104">
        <f>IF(CI25="trocken",CJ25,IF(Konstanten!$A$18*(Massenstromrechnung!$Y$6^Konstanten!$B$18*(Massenstromrechnung!$X$4-(Iteration!CH25+Massenstromrechnung!$X$3)/2)^Konstanten!$C$18*CJ25^Konstanten!$D$18*((Massenstromrechnung!$X$3+Iteration!CH25)/2)^Konstanten!$E$18+(Iteration!CH25-Massenstromrechnung!$X$3)^Konstanten!$F$18)&lt;1,CJ25,CJ25*Konstanten!$A$18*(Massenstromrechnung!$Y$6^Konstanten!$B$18*(Massenstromrechnung!$X$4-(Iteration!CH25+Massenstromrechnung!$X$3)/2)^Konstanten!$C$18*CJ25^Konstanten!$D$18*((Massenstromrechnung!$X$3+Iteration!CH25)/2)^Konstanten!$E$18+(Iteration!CH25-Massenstromrechnung!$X$3)^Konstanten!$F$18)))</f>
        <v>1276.3482533874978</v>
      </c>
      <c r="CL25" s="101">
        <f>CK25/(Massenstromrechnung!$AA35*Konstanten!$K$3/3.6)+Massenstromrechnung!$X$3</f>
        <v>12.05310334629706</v>
      </c>
      <c r="CM25" s="103" t="str">
        <f>IF(OR(Massenstromrechnung!$Y$6&lt;(CL25*50+Massenstromrechnung!$X$3)/51,(Massenstromrechnung!$Y$6-(CL25*51+Massenstromrechnung!$X$3)/51)&lt;0.7),"trocken","feucht")</f>
        <v>feucht</v>
      </c>
      <c r="CN25" s="104">
        <f>(Massenstromrechnung!$X$4-(Massenstromrechnung!$X$3+CL25)/2)^Konstanten!$E$7*$AK25*$AL25^Konstanten!$F$7*(CL25-Massenstromrechnung!$X$3)^Konstanten!$G$7*((Massenstromrechnung!$X$3+CL25)/2)^Konstanten!$H$7*(Konstanten!$C$7-(CL25-Massenstromrechnung!$X$3)^Konstanten!$I$7*Konstanten!$D$7)</f>
        <v>926.45781720663706</v>
      </c>
      <c r="CO25" s="104">
        <f>IF(CM25="trocken",CN25,IF(Konstanten!$A$18*(Massenstromrechnung!$Y$6^Konstanten!$B$18*(Massenstromrechnung!$X$4-(Iteration!CL25+Massenstromrechnung!$X$3)/2)^Konstanten!$C$18*CN25^Konstanten!$D$18*((Massenstromrechnung!$X$3+Iteration!CL25)/2)^Konstanten!$E$18+(Iteration!CL25-Massenstromrechnung!$X$3)^Konstanten!$F$18)&lt;1,CN25,CN25*Konstanten!$A$18*(Massenstromrechnung!$Y$6^Konstanten!$B$18*(Massenstromrechnung!$X$4-(Iteration!CL25+Massenstromrechnung!$X$3)/2)^Konstanten!$C$18*CN25^Konstanten!$D$18*((Massenstromrechnung!$X$3+Iteration!CL25)/2)^Konstanten!$E$18+(Iteration!CL25-Massenstromrechnung!$X$3)^Konstanten!$F$18)))</f>
        <v>1257.3321958731608</v>
      </c>
      <c r="CP25" s="101">
        <f>IF(CO25/(Massenstromrechnung!$AA35*Konstanten!$K$3/3.6)+Massenstromrechnung!$X$3-Massenstromrechnung!$X$3&lt;1.4,"RLT zu niedrig",CO25/(Massenstromrechnung!$AA35*Konstanten!$K$3/3.6)+Massenstromrechnung!$X$3)</f>
        <v>11.977818169540601</v>
      </c>
      <c r="CQ25" s="103" t="str">
        <f>IF(CP25="RLT zu niedrig","RLT zu niedrig",IF(OR(Massenstromrechnung!$Y$6&lt;(CP25*50+Massenstromrechnung!$X$3)/51,(Massenstromrechnung!$Y$6-(CP25*51+Massenstromrechnung!$X$3)/51)&lt;0.7),"trocken","feucht"))</f>
        <v>feucht</v>
      </c>
      <c r="CR25" s="104">
        <f>IF(CP25="RLT zu niedrig","RLT zu niedrig",(Massenstromrechnung!$X$4-(Massenstromrechnung!$X$3+CP25)/2)^Konstanten!$E$7*$AK25*$AL25^Konstanten!$F$7*(CP25-Massenstromrechnung!$X$3)^Konstanten!$G$7*((Massenstromrechnung!$X$3+CP25)/2)^Konstanten!$H$7*(Konstanten!$C$7-(CP25-Massenstromrechnung!$X$3)^Konstanten!$I$7*Konstanten!$D$7))</f>
        <v>930.67881387747025</v>
      </c>
      <c r="CS25" s="104">
        <f>IF(CP25="RLT zu niedrig","RLT zu niedrig",IF(CQ25="trocken",CR25,IF(Konstanten!$A$18*(Massenstromrechnung!$Y$6^Konstanten!$B$18*(Massenstromrechnung!$X$4-(Iteration!CP25+Massenstromrechnung!$X$3)/2)^Konstanten!$C$18*CR25^Konstanten!$D$18*((Massenstromrechnung!$X$3+Iteration!CP25)/2)^Konstanten!$E$18+(Iteration!CP25-Massenstromrechnung!$X$3)^Konstanten!$F$18)&lt;1,CR25,CR25*Konstanten!$A$18*(Massenstromrechnung!$Y$6^Konstanten!$B$18*(Massenstromrechnung!$X$4-(Iteration!CP25+Massenstromrechnung!$X$3)/2)^Konstanten!$C$18*CR25^Konstanten!$D$18*((Massenstromrechnung!$X$3+Iteration!CP25)/2)^Konstanten!$E$18+(Iteration!CP25-Massenstromrechnung!$X$3)^Konstanten!$F$18))))</f>
        <v>1265.2919336945204</v>
      </c>
    </row>
    <row r="26" spans="1:97" x14ac:dyDescent="0.3">
      <c r="A26">
        <f>Massenstromrechnung!B36</f>
        <v>1890</v>
      </c>
      <c r="B26" s="78">
        <v>315</v>
      </c>
      <c r="C26" s="103">
        <f>IF(Massenstromrechnung!$K$3-10&lt;=Massenstromrechnung!$K$4,Massenstromrechnung!$K$3-0.75*(Massenstromrechnung!$K$3-Massenstromrechnung!$K$4),Massenstromrechnung!$K$3-10)</f>
        <v>65</v>
      </c>
      <c r="D26" s="103">
        <f>-1*((Massenstromrechnung!$K$3+C26)/2-Massenstromrechnung!$K$4)^Konstanten!$E$4*Massenstromrechnung!$B36*Massenstromrechnung!$C36^Konstanten!$F$4*(Massenstromrechnung!$K$3-C26)^Konstanten!$G$4*((Massenstromrechnung!$K$3+C26)/2)^Konstanten!$H$4*(Konstanten!$C$4-((Massenstromrechnung!$K$3-C26)^Konstanten!$I$4*Konstanten!$D$4))/(Massenstromrechnung!$F36*Konstanten!$K$3/3.6)+Massenstromrechnung!$K$3</f>
        <v>65</v>
      </c>
      <c r="E26" s="103">
        <f t="shared" si="6"/>
        <v>65</v>
      </c>
      <c r="F26" s="103">
        <f>-1*((Massenstromrechnung!$K$3+E26)/2-Massenstromrechnung!$K$4)^Konstanten!$E$4*Massenstromrechnung!$B36*Massenstromrechnung!$C36^Konstanten!$F$4*(Massenstromrechnung!$K$3-E26)^Konstanten!$G$4*((Massenstromrechnung!$K$3+E26)/2)^Konstanten!$H$4*(Konstanten!$C$4-((Massenstromrechnung!$K$3-E26)^Konstanten!$I$4*Konstanten!$D$4))/(Massenstromrechnung!$F36*Konstanten!$K$3/3.6)+Massenstromrechnung!$K$3</f>
        <v>65</v>
      </c>
      <c r="G26" s="103">
        <f t="shared" si="0"/>
        <v>65</v>
      </c>
      <c r="H26" s="103">
        <f>-1*((Massenstromrechnung!$K$3+G26)/2-Massenstromrechnung!$K$4)^Konstanten!$E$4*Massenstromrechnung!$B36*Massenstromrechnung!$C36^Konstanten!$F$4*(Massenstromrechnung!$K$3-G26)^Konstanten!$G$4*((Massenstromrechnung!$K$3+G26)/2)^Konstanten!$H$4*(Konstanten!$C$4-((Massenstromrechnung!$K$3-G26)^Konstanten!$I$4*Konstanten!$D$4))/(Massenstromrechnung!$F36*Konstanten!$K$3/3.6)+Massenstromrechnung!$K$3</f>
        <v>65</v>
      </c>
      <c r="I26" s="103">
        <f t="shared" si="1"/>
        <v>65</v>
      </c>
      <c r="J26" s="103">
        <f>-1*((Massenstromrechnung!$K$3+I26)/2-Massenstromrechnung!$K$4)^Konstanten!$E$4*Massenstromrechnung!$B36*Massenstromrechnung!$C36^Konstanten!$F$4*(Massenstromrechnung!$K$3-I26)^Konstanten!$G$4*((Massenstromrechnung!$K$3+I26)/2)^Konstanten!$H$4*(Konstanten!$C$4-((Massenstromrechnung!$K$3-I26)^Konstanten!$I$4*Konstanten!$D$4))/(Massenstromrechnung!$F36*Konstanten!$K$3/3.6)+Massenstromrechnung!$K$3</f>
        <v>65</v>
      </c>
      <c r="K26" s="103">
        <f t="shared" si="2"/>
        <v>65</v>
      </c>
      <c r="L26" s="103">
        <f>-1*((Massenstromrechnung!$K$3+K26)/2-Massenstromrechnung!$K$4)^Konstanten!$E$4*Massenstromrechnung!$B36*Massenstromrechnung!$C36^Konstanten!$F$4*(Massenstromrechnung!$K$3-K26)^Konstanten!$G$4*((Massenstromrechnung!$K$3+K26)/2)^Konstanten!$H$4*(Konstanten!$C$4-((Massenstromrechnung!$K$3-K26)^Konstanten!$I$4*Konstanten!$D$4))/(Massenstromrechnung!$F36*Konstanten!$K$3/3.6)+Massenstromrechnung!$K$3</f>
        <v>65</v>
      </c>
      <c r="N26">
        <f>'Katalogdaten M3G045'!B40</f>
        <v>1890</v>
      </c>
      <c r="O26" s="78">
        <v>315</v>
      </c>
      <c r="P26" s="103">
        <f>IF(Massenstromrechnung!$K$3-10&lt;=Massenstromrechnung!$K$4,Massenstromrechnung!$K$3-0.75*(Massenstromrechnung!$K$3-Massenstromrechnung!$K$4),Massenstromrechnung!$K$3-10)</f>
        <v>65</v>
      </c>
      <c r="Q26" s="103" t="e">
        <f>-1*((Massenstromrechnung!$K$3+P26)/2-Massenstromrechnung!$K$4)^Konstanten!$E$4*Massenstromrechnung!$B36*Massenstromrechnung!$C36^Konstanten!$F$4*(Massenstromrechnung!$K$3-P26)^Konstanten!$G$4*((Massenstromrechnung!$K$3+P26)/2)^Konstanten!$H$4*(Konstanten!$C$4-((Massenstromrechnung!$K$3-P26)^Konstanten!$I$4*Konstanten!$D$4))/(Massenstromrechnung!#REF!*Konstanten!$K$3/3.6)+Massenstromrechnung!$K$3</f>
        <v>#REF!</v>
      </c>
      <c r="R26" s="103" t="e">
        <f t="shared" si="7"/>
        <v>#REF!</v>
      </c>
      <c r="S26" s="103" t="e">
        <f>-1*((Massenstromrechnung!$K$3+R26)/2-Massenstromrechnung!$K$4)^Konstanten!$E$4*Massenstromrechnung!$B36*Massenstromrechnung!$C36^Konstanten!$F$4*(Massenstromrechnung!$K$3-R26)^Konstanten!$G$4*((Massenstromrechnung!$K$3+R26)/2)^Konstanten!$H$4*(Konstanten!$C$4-((Massenstromrechnung!$K$3-R26)^Konstanten!$I$4*Konstanten!$D$4))/(Massenstromrechnung!#REF!*Konstanten!$K$3/3.6)+Massenstromrechnung!$K$3</f>
        <v>#REF!</v>
      </c>
      <c r="T26" s="103" t="e">
        <f t="shared" si="3"/>
        <v>#REF!</v>
      </c>
      <c r="U26" s="103" t="e">
        <f>-1*((Massenstromrechnung!$K$3+T26)/2-Massenstromrechnung!$K$4)^Konstanten!$E$4*Massenstromrechnung!$B36*Massenstromrechnung!$C36^Konstanten!$F$4*(Massenstromrechnung!$K$3-T26)^Konstanten!$G$4*((Massenstromrechnung!$K$3+T26)/2)^Konstanten!$H$4*(Konstanten!$C$4-((Massenstromrechnung!$K$3-T26)^Konstanten!$I$4*Konstanten!$D$4))/(Massenstromrechnung!#REF!*Konstanten!$K$3/3.6)+Massenstromrechnung!$K$3</f>
        <v>#REF!</v>
      </c>
      <c r="V26" s="103" t="e">
        <f t="shared" si="4"/>
        <v>#REF!</v>
      </c>
      <c r="W26" s="103" t="e">
        <f>-1*((Massenstromrechnung!$K$3+V26)/2-Massenstromrechnung!$K$4)^Konstanten!$E$4*Massenstromrechnung!$B36*Massenstromrechnung!$C36^Konstanten!$F$4*(Massenstromrechnung!$K$3-V26)^Konstanten!$G$4*((Massenstromrechnung!$K$3+V26)/2)^Konstanten!$H$4*(Konstanten!$C$4-((Massenstromrechnung!$K$3-V26)^Konstanten!$I$4*Konstanten!$D$4))/(Massenstromrechnung!#REF!*Konstanten!$K$3/3.6)+Massenstromrechnung!$K$3</f>
        <v>#REF!</v>
      </c>
      <c r="X26" s="103" t="e">
        <f t="shared" si="5"/>
        <v>#REF!</v>
      </c>
      <c r="Y26" s="103" t="e">
        <f>-1*((Massenstromrechnung!$K$3+X26)/2-Massenstromrechnung!$K$4)^Konstanten!$E$4*Massenstromrechnung!$B36*Massenstromrechnung!$C36^Konstanten!$F$4*(Massenstromrechnung!$K$3-X26)^Konstanten!$G$4*((Massenstromrechnung!$K$3+X26)/2)^Konstanten!$H$4*(Konstanten!$C$4-((Massenstromrechnung!$K$3-X26)^Konstanten!$I$4*Konstanten!$D$4))/(Massenstromrechnung!#REF!*Konstanten!$K$3/3.6)+Massenstromrechnung!$K$3</f>
        <v>#REF!</v>
      </c>
      <c r="AA26">
        <f t="shared" si="8"/>
        <v>1890</v>
      </c>
      <c r="AB26">
        <f t="shared" si="8"/>
        <v>315</v>
      </c>
      <c r="AC26" s="103">
        <f>IF(Massenstromrechnung!$K$3-10&lt;=Massenstromrechnung!$K$4,Massenstromrechnung!$K$3-0.75*(Massenstromrechnung!$K$3-Massenstromrechnung!$K$4),Massenstromrechnung!$K$3-10)</f>
        <v>65</v>
      </c>
      <c r="AD26" s="103">
        <f>-1*((Massenstromrechnung!$K$3+AC26)/2-Massenstromrechnung!$K$4)^Konstanten!$E$5*$AA26*$AB26^Konstanten!$F$5*(Massenstromrechnung!$K$3-AC26)^Konstanten!$G$5*((Massenstromrechnung!$K$3+AC26)/2)^Konstanten!$H$5*(Konstanten!$C$5-((Massenstromrechnung!$K$3-AC26)^Konstanten!$I$5*Konstanten!$D$5))/(Massenstromrechnung!$L36*Konstanten!$K$3/3.6)+Massenstromrechnung!$K$3</f>
        <v>65</v>
      </c>
      <c r="AE26" s="103">
        <f>-1*((Massenstromrechnung!$K$3+AD26)/2-Massenstromrechnung!$K$4)^Konstanten!$E$5*$AA26*$AB26^Konstanten!$F$5*(Massenstromrechnung!$K$3-AD26)^Konstanten!$G$5*((Massenstromrechnung!$K$3+AD26)/2)^Konstanten!$H$5*(Konstanten!$C$5-((Massenstromrechnung!$K$3-AD26)^Konstanten!$I$5*Konstanten!$D$5))/(Massenstromrechnung!$L36*Konstanten!$K$3/3.6)+Massenstromrechnung!$K$3</f>
        <v>65</v>
      </c>
      <c r="AF26" s="103">
        <f>-1*((Massenstromrechnung!$K$3+AE26)/2-Massenstromrechnung!$K$4)^Konstanten!$E$5*$AA26*$AB26^Konstanten!$F$5*(Massenstromrechnung!$K$3-AE26)^Konstanten!$G$5*((Massenstromrechnung!$K$3+AE26)/2)^Konstanten!$H$5*(Konstanten!$C$5-((Massenstromrechnung!$K$3-AE26)^Konstanten!$I$5*Konstanten!$D$5))/(Massenstromrechnung!$L36*Konstanten!$K$3/3.6)+Massenstromrechnung!$K$3</f>
        <v>65</v>
      </c>
      <c r="AG26" s="103">
        <f>-1*((Massenstromrechnung!$K$3+AF26)/2-Massenstromrechnung!$K$4)^Konstanten!$E$5*$AA26*$AB26^Konstanten!$F$5*(Massenstromrechnung!$K$3-AF26)^Konstanten!$G$5*((Massenstromrechnung!$K$3+AF26)/2)^Konstanten!$H$5*(Konstanten!$C$5-((Massenstromrechnung!$K$3-AF26)^Konstanten!$I$5*Konstanten!$D$5))/(Massenstromrechnung!$L36*Konstanten!$K$3/3.6)+Massenstromrechnung!$K$3</f>
        <v>65</v>
      </c>
      <c r="AH26" s="103">
        <f>-1*((Massenstromrechnung!$K$3+AG26)/2-Massenstromrechnung!$K$4)^Konstanten!$E$5*$AA26*$AB26^Konstanten!$F$5*(Massenstromrechnung!$K$3-AG26)^Konstanten!$G$5*((Massenstromrechnung!$K$3+AG26)/2)^Konstanten!$H$5*(Konstanten!$C$5-((Massenstromrechnung!$K$3-AG26)^Konstanten!$I$5*Konstanten!$D$5))/(Massenstromrechnung!$L36*Konstanten!$K$3/3.6)+Massenstromrechnung!$K$3</f>
        <v>65</v>
      </c>
      <c r="AI26" s="103">
        <f>-1*((Massenstromrechnung!$K$3+AH26)/2-Massenstromrechnung!$K$4)^Konstanten!$E$5*$AA26*$AB26^Konstanten!$F$5*(Massenstromrechnung!$K$3-AH26)^Konstanten!$G$5*((Massenstromrechnung!$K$3+AH26)/2)^Konstanten!$H$5*(Konstanten!$C$5-((Massenstromrechnung!$K$3-AH26)^Konstanten!$I$5*Konstanten!$D$5))/(Massenstromrechnung!$L36*Konstanten!$K$3/3.6)+Massenstromrechnung!$K$3</f>
        <v>65</v>
      </c>
      <c r="AK26">
        <f t="shared" si="9"/>
        <v>1890</v>
      </c>
      <c r="AL26">
        <f t="shared" si="9"/>
        <v>315</v>
      </c>
      <c r="AM26" s="103">
        <f>Massenstromrechnung!$X$3+2</f>
        <v>9</v>
      </c>
      <c r="AN26" s="103" t="str">
        <f>IF(OR(Massenstromrechnung!$Y$6&lt;(AM26*50+Massenstromrechnung!$X$3)/51,(Massenstromrechnung!$Y$6-(AM26*51+Massenstromrechnung!$X$3)/51)&lt;0.7),"trocken","feucht")</f>
        <v>feucht</v>
      </c>
      <c r="AO26" s="104">
        <f>(Massenstromrechnung!$X$4-(Massenstromrechnung!$X$3+AM26)/2)^Konstanten!$E$6*$AK26*$AL26^Konstanten!$F$6*(AM26-Massenstromrechnung!$X$3)^Konstanten!$G$6*((Massenstromrechnung!$X$3+AM26)/2)^Konstanten!$H$6*(Konstanten!$C$6-(AM26-Massenstromrechnung!$X$3)^Konstanten!$I$6*Konstanten!$D$6)</f>
        <v>547.39991422291496</v>
      </c>
      <c r="AP26" s="104">
        <f>IF(AN26="trocken",AO26,IF(Konstanten!$A$18*(Massenstromrechnung!$Y$6^Konstanten!$B$18*(Massenstromrechnung!$X$4-(Iteration!AM26+Massenstromrechnung!$X$3)/2)^Konstanten!$C$18*AO26^Konstanten!$D$18*((Massenstromrechnung!$X$3+Iteration!AM26)/2)^Konstanten!$E$18+(Iteration!AM26-Massenstromrechnung!$X$3)^Konstanten!$F$18)&lt;1,AO26,AO26*Konstanten!$A$18*(Massenstromrechnung!$Y$6^Konstanten!$B$18*(Massenstromrechnung!$X$4-(Iteration!AM26+Massenstromrechnung!$X$3)/2)^Konstanten!$C$18*AO26^Konstanten!$D$18*((Massenstromrechnung!$X$3+Iteration!AM26)/2)^Konstanten!$E$18+(Iteration!AM26-Massenstromrechnung!$X$3)^Konstanten!$F$18)))</f>
        <v>833.91945059008447</v>
      </c>
      <c r="AQ26" s="101">
        <f>AP26/(Massenstromrechnung!$R36*Konstanten!$K$3/3.6)+Massenstromrechnung!$X$3</f>
        <v>13.213279360534418</v>
      </c>
      <c r="AR26" s="103" t="str">
        <f>IF(OR(Massenstromrechnung!$Y$6&lt;(AQ26*50+Massenstromrechnung!$X$3)/51,(Massenstromrechnung!$Y$6-(AQ26*51+Massenstromrechnung!$X$3)/51)&lt;0.7),"trocken","feucht")</f>
        <v>feucht</v>
      </c>
      <c r="AS26" s="104">
        <f>(Massenstromrechnung!$X$4-(Massenstromrechnung!$X$3+AQ26)/2)^Konstanten!$E$6*$AK26*$AL26^Konstanten!$F$6*(AQ26-Massenstromrechnung!$X$3)^Konstanten!$G$6*((Massenstromrechnung!$X$3+AQ26)/2)^Konstanten!$H$6*(Konstanten!$C$6-(AQ26-Massenstromrechnung!$X$3)^Konstanten!$I$6*Konstanten!$D$6)</f>
        <v>457.4421934802395</v>
      </c>
      <c r="AT26" s="104">
        <f>IF(AR26="trocken",AS26,IF(Konstanten!$A$18*(Massenstromrechnung!$Y$6^Konstanten!$B$18*(Massenstromrechnung!$X$4-(Iteration!AQ26+Massenstromrechnung!$X$3)/2)^Konstanten!$C$18*AS26^Konstanten!$D$18*((Massenstromrechnung!$X$3+Iteration!AQ26)/2)^Konstanten!$E$18+(Iteration!AQ26-Massenstromrechnung!$X$3)^Konstanten!$F$18)&lt;1,AS26,AS26*Konstanten!$A$18*(Massenstromrechnung!$Y$6^Konstanten!$B$18*(Massenstromrechnung!$X$4-(Iteration!AQ26+Massenstromrechnung!$X$3)/2)^Konstanten!$C$18*AS26^Konstanten!$D$18*((Massenstromrechnung!$X$3+Iteration!AQ26)/2)^Konstanten!$E$18+(Iteration!AQ26-Massenstromrechnung!$X$3)^Konstanten!$F$18)))</f>
        <v>617.03726986062838</v>
      </c>
      <c r="AU26" s="101">
        <f>AT26/(Massenstromrechnung!$R36*Konstanten!$K$3/3.6)+Massenstromrechnung!$X$3</f>
        <v>11.597356412292243</v>
      </c>
      <c r="AV26" s="103" t="str">
        <f>IF(OR(Massenstromrechnung!$Y$6&lt;(AU26*50+Massenstromrechnung!$X$3)/51,(Massenstromrechnung!$Y$6-(AU26*51+Massenstromrechnung!$X$3)/51)&lt;0.7),"trocken","feucht")</f>
        <v>feucht</v>
      </c>
      <c r="AW26" s="104">
        <f>(Massenstromrechnung!$X$4-(Massenstromrechnung!$X$3+AU26)/2)^Konstanten!$E$6*$AK26*$AL26^Konstanten!$F$6*(AU26-Massenstromrechnung!$X$3)^Konstanten!$G$6*((Massenstromrechnung!$X$3+AU26)/2)^Konstanten!$H$6*(Konstanten!$C$6-(AU26-Massenstromrechnung!$X$3)^Konstanten!$I$6*Konstanten!$D$6)</f>
        <v>493.69122853094956</v>
      </c>
      <c r="AX26" s="104">
        <f>IF(AV26="trocken",AW26,IF(Konstanten!$A$18*(Massenstromrechnung!$Y$6^Konstanten!$B$18*(Massenstromrechnung!$X$4-(Iteration!AU26+Massenstromrechnung!$X$3)/2)^Konstanten!$C$18*AW26^Konstanten!$D$18*((Massenstromrechnung!$X$3+Iteration!AU26)/2)^Konstanten!$E$18+(Iteration!AU26-Massenstromrechnung!$X$3)^Konstanten!$F$18)&lt;1,AW26,AW26*Konstanten!$A$18*(Massenstromrechnung!$Y$6^Konstanten!$B$18*(Massenstromrechnung!$X$4-(Iteration!AU26+Massenstromrechnung!$X$3)/2)^Konstanten!$C$18*AW26^Konstanten!$D$18*((Massenstromrechnung!$X$3+Iteration!AU26)/2)^Konstanten!$E$18+(Iteration!AU26-Massenstromrechnung!$X$3)^Konstanten!$F$18)))</f>
        <v>690.76443558769631</v>
      </c>
      <c r="AY26" s="101">
        <f>AX26/(Massenstromrechnung!$R36*Konstanten!$K$3/3.6)+Massenstromrechnung!$X$3</f>
        <v>12.146675026696244</v>
      </c>
      <c r="AZ26" s="103" t="str">
        <f>IF(OR(Massenstromrechnung!$Y$6&lt;(AY26*50+Massenstromrechnung!$X$3)/51,(Massenstromrechnung!$Y$6-(AY26*51+Massenstromrechnung!$X$3)/51)&lt;0.7),"trocken","feucht")</f>
        <v>feucht</v>
      </c>
      <c r="BA26" s="104">
        <f>(Massenstromrechnung!$X$4-(Massenstromrechnung!$X$3+AY26)/2)^Konstanten!$E$6*$AK26*$AL26^Konstanten!$F$6*(AY26-Massenstromrechnung!$X$3)^Konstanten!$G$6*((Massenstromrechnung!$X$3+AY26)/2)^Konstanten!$H$6*(Konstanten!$C$6-(AY26-Massenstromrechnung!$X$3)^Konstanten!$I$6*Konstanten!$D$6)</f>
        <v>481.01688241524823</v>
      </c>
      <c r="BB26" s="104">
        <f>IF(AZ26="trocken",BA26,IF(Konstanten!$A$18*(Massenstromrechnung!$Y$6^Konstanten!$B$18*(Massenstromrechnung!$X$4-(Iteration!AY26+Massenstromrechnung!$X$3)/2)^Konstanten!$C$18*BA26^Konstanten!$D$18*((Massenstromrechnung!$X$3+Iteration!AY26)/2)^Konstanten!$E$18+(Iteration!AY26-Massenstromrechnung!$X$3)^Konstanten!$F$18)&lt;1,BA26,BA26*Konstanten!$A$18*(Massenstromrechnung!$Y$6^Konstanten!$B$18*(Massenstromrechnung!$X$4-(Iteration!AY26+Massenstromrechnung!$X$3)/2)^Konstanten!$C$18*BA26^Konstanten!$D$18*((Massenstromrechnung!$X$3+Iteration!AY26)/2)^Konstanten!$E$18+(Iteration!AY26-Massenstromrechnung!$X$3)^Konstanten!$F$18)))</f>
        <v>664.13451402957924</v>
      </c>
      <c r="BC26" s="101">
        <f>BB26/(Massenstromrechnung!$R36*Konstanten!$K$3/3.6)+Massenstromrechnung!$X$3</f>
        <v>11.948263607136933</v>
      </c>
      <c r="BD26" s="103" t="str">
        <f>IF(OR(Massenstromrechnung!$Y$6&lt;(BC26*50+Massenstromrechnung!$X$3)/51,(Massenstromrechnung!$Y$6-(BC26*51+Massenstromrechnung!$X$3)/51)&lt;0.7),"trocken","feucht")</f>
        <v>feucht</v>
      </c>
      <c r="BE26" s="104">
        <f>(Massenstromrechnung!$X$4-(Massenstromrechnung!$X$3+BC26)/2)^Konstanten!$E$6*$AK26*$AL26^Konstanten!$F$6*(BC26-Massenstromrechnung!$X$3)^Konstanten!$G$6*((Massenstromrechnung!$X$3+BC26)/2)^Konstanten!$H$6*(Konstanten!$C$6-(BC26-Massenstromrechnung!$X$3)^Konstanten!$I$6*Konstanten!$D$6)</f>
        <v>485.55745287702229</v>
      </c>
      <c r="BF26" s="104">
        <f>IF(BD26="trocken",BE26,IF(Konstanten!$A$18*(Massenstromrechnung!$Y$6^Konstanten!$B$18*(Massenstromrechnung!$X$4-(Iteration!BC26+Massenstromrechnung!$X$3)/2)^Konstanten!$C$18*BE26^Konstanten!$D$18*((Massenstromrechnung!$X$3+Iteration!BC26)/2)^Konstanten!$E$18+(Iteration!BC26-Massenstromrechnung!$X$3)^Konstanten!$F$18)&lt;1,BE26,BE26*Konstanten!$A$18*(Massenstromrechnung!$Y$6^Konstanten!$B$18*(Massenstromrechnung!$X$4-(Iteration!BC26+Massenstromrechnung!$X$3)/2)^Konstanten!$C$18*BE26^Konstanten!$D$18*((Massenstromrechnung!$X$3+Iteration!BC26)/2)^Konstanten!$E$18+(Iteration!BC26-Massenstromrechnung!$X$3)^Konstanten!$F$18)))</f>
        <v>673.55623036050076</v>
      </c>
      <c r="BG26" s="101">
        <f>BF26/(Massenstromrechnung!$R36*Konstanten!$K$3/3.6)+Massenstromrechnung!$X$3</f>
        <v>12.018461940535083</v>
      </c>
      <c r="BH26" s="103" t="str">
        <f>IF(OR(Massenstromrechnung!$Y$6&lt;(BG26*50+Massenstromrechnung!$X$3)/51,(Massenstromrechnung!$Y$6-(BG26*51+Massenstromrechnung!$X$3)/51)&lt;0.7),"trocken","feucht")</f>
        <v>feucht</v>
      </c>
      <c r="BI26" s="104">
        <f>(Massenstromrechnung!$X$4-(Massenstromrechnung!$X$3+BG26)/2)^Konstanten!$E$6*$AK26*$AL26^Konstanten!$F$6*(BG26-Massenstromrechnung!$X$3)^Konstanten!$G$6*((Massenstromrechnung!$X$3+BG26)/2)^Konstanten!$H$6*(Konstanten!$C$6-(BG26-Massenstromrechnung!$X$3)^Konstanten!$I$6*Konstanten!$D$6)</f>
        <v>483.94584804229964</v>
      </c>
      <c r="BJ26" s="104">
        <f>IF(BH26="trocken",BI26,IF(Konstanten!$A$18*(Massenstromrechnung!$Y$6^Konstanten!$B$18*(Massenstromrechnung!$X$4-(Iteration!BG26+Massenstromrechnung!$X$3)/2)^Konstanten!$C$18*BI26^Konstanten!$D$18*((Massenstromrechnung!$X$3+Iteration!BG26)/2)^Konstanten!$E$18+(Iteration!BG26-Massenstromrechnung!$X$3)^Konstanten!$F$18)&lt;1,BI26,BI26*Konstanten!$A$18*(Massenstromrechnung!$Y$6^Konstanten!$B$18*(Massenstromrechnung!$X$4-(Iteration!BG26+Massenstromrechnung!$X$3)/2)^Konstanten!$C$18*BI26^Konstanten!$D$18*((Massenstromrechnung!$X$3+Iteration!BG26)/2)^Konstanten!$E$18+(Iteration!BG26-Massenstromrechnung!$X$3)^Konstanten!$F$18)))</f>
        <v>670.19775504216625</v>
      </c>
      <c r="BK26" s="101">
        <f>IF(BJ26/(Massenstromrechnung!$R36*Konstanten!$K$3/3.6)+Massenstromrechnung!$X$3-Massenstromrechnung!$X$3&lt;1.4,"RLT zu niedrig",BJ26/(Massenstromrechnung!$R36*Konstanten!$K$3/3.6)+Massenstromrechnung!$X$3)</f>
        <v>11.993438965757955</v>
      </c>
      <c r="BL26" s="103" t="str">
        <f>IF(BK26="RLT zu niedrig","RLT zu niedrig",IF(OR(Massenstromrechnung!$Y$6&lt;(BK26*50+Massenstromrechnung!$X$3)/51,(Massenstromrechnung!$Y$6-(BK26*51+Massenstromrechnung!$X$3)/51)&lt;0.7),"trocken","feucht"))</f>
        <v>feucht</v>
      </c>
      <c r="BM26" s="104">
        <f>IF(BK26="RLT zu niedrig","RLT zu niedrig",(Massenstromrechnung!$X$4-(Massenstromrechnung!$X$3+BK26)/2)^Konstanten!$E$6*$AK26*$AL26^Konstanten!$F$6*(BK26-Massenstromrechnung!$X$3)^Konstanten!$G$6*((Massenstromrechnung!$X$3+BK26)/2)^Konstanten!$H$6*(Konstanten!$C$6-(BK26-Massenstromrechnung!$X$3)^Konstanten!$I$6*Konstanten!$D$6))</f>
        <v>484.51968848556106</v>
      </c>
      <c r="BN26" s="104">
        <f>IF(BK26="RLT zu niedrig","RLT zu niedrig",IF(BL26="trocken",BM26,IF(Konstanten!$A$18*(Massenstromrechnung!$Y$6^Konstanten!$B$18*(Massenstromrechnung!$X$4-(Iteration!BK26+Massenstromrechnung!$X$3)/2)^Konstanten!$C$18*BM26^Konstanten!$D$18*((Massenstromrechnung!$X$3+Iteration!BK26)/2)^Konstanten!$E$18+(Iteration!BK26-Massenstromrechnung!$X$3)^Konstanten!$F$18)&lt;1,BM26,BM26*Konstanten!$A$18*(Massenstromrechnung!$Y$6^Konstanten!$B$18*(Massenstromrechnung!$X$4-(Iteration!BK26+Massenstromrechnung!$X$3)/2)^Konstanten!$C$18*BM26^Konstanten!$D$18*((Massenstromrechnung!$X$3+Iteration!BK26)/2)^Konstanten!$E$18+(Iteration!BK26-Massenstromrechnung!$X$3)^Konstanten!$F$18))))</f>
        <v>671.3917543626817</v>
      </c>
      <c r="BO26" s="101"/>
      <c r="BP26">
        <f t="shared" si="10"/>
        <v>1890</v>
      </c>
      <c r="BQ26">
        <f t="shared" si="10"/>
        <v>315</v>
      </c>
      <c r="BR26" s="103">
        <f>Massenstromrechnung!$X$3+2</f>
        <v>9</v>
      </c>
      <c r="BS26" s="103" t="str">
        <f>IF(OR(Massenstromrechnung!$Y$6&lt;(BR26*50+Massenstromrechnung!$X$3)/51,(Massenstromrechnung!$Y$6-(BR26*51+Massenstromrechnung!$X$3)/51)&lt;0.7),"trocken","feucht")</f>
        <v>feucht</v>
      </c>
      <c r="BT26" s="104">
        <f>(Massenstromrechnung!$X$4-(Massenstromrechnung!$X$3+BR26)/2)^Konstanten!$E$7*$AK26*$AL26^Konstanten!$F$7*(BR26-Massenstromrechnung!$X$3)^Konstanten!$G$7*((Massenstromrechnung!$X$3+BR26)/2)^Konstanten!$H$7*(Konstanten!$C$7-(BR26-Massenstromrechnung!$X$3)^Konstanten!$I$7*Konstanten!$D$7)</f>
        <v>609.8918128058616</v>
      </c>
      <c r="BU26" s="104">
        <f>IF(BS26="trocken",BT26,IF(Konstanten!$A$18*(Massenstromrechnung!$Y$6^Konstanten!$B$18*(Massenstromrechnung!$X$4-(Iteration!BR26+Massenstromrechnung!$X$3)/2)^Konstanten!$C$18*BT26^Konstanten!$D$18*((Massenstromrechnung!$X$3+Iteration!BR26)/2)^Konstanten!$E$18+(Iteration!BR26-Massenstromrechnung!$X$3)^Konstanten!$F$18)&lt;1,BT26,BT26*Konstanten!$A$18*(Massenstromrechnung!$Y$6^Konstanten!$B$18*(Massenstromrechnung!$X$4-(Iteration!BR26+Massenstromrechnung!$X$3)/2)^Konstanten!$C$18*BT26^Konstanten!$D$18*((Massenstromrechnung!$X$3+Iteration!BR26)/2)^Konstanten!$E$18+(Iteration!BR26-Massenstromrechnung!$X$3)^Konstanten!$F$18)))</f>
        <v>926.21387678215092</v>
      </c>
      <c r="BV26" s="101">
        <f>BU26/(Massenstromrechnung!$AA36*Konstanten!$K$3/3.6)+Massenstromrechnung!$X$3</f>
        <v>13.890730463218382</v>
      </c>
      <c r="BW26" s="103" t="str">
        <f>IF(OR(Massenstromrechnung!$Y$6&lt;(BV26*50+Massenstromrechnung!$X$3)/51,(Massenstromrechnung!$Y$6-(BV26*51+Massenstromrechnung!$X$3)/51)&lt;0.7),"trocken","feucht")</f>
        <v>feucht</v>
      </c>
      <c r="BX26" s="104">
        <f>(Massenstromrechnung!$X$4-(Massenstromrechnung!$X$3+BV26)/2)^Konstanten!$E$7*$AK26*$AL26^Konstanten!$F$7*(BV26-Massenstromrechnung!$X$3)^Konstanten!$G$7*((Massenstromrechnung!$X$3+BV26)/2)^Konstanten!$H$7*(Konstanten!$C$7-(BV26-Massenstromrechnung!$X$3)^Konstanten!$I$7*Konstanten!$D$7)</f>
        <v>436.06786077256504</v>
      </c>
      <c r="BY26" s="104">
        <f>IF(BW26="trocken",BX26,IF(Konstanten!$A$18*(Massenstromrechnung!$Y$6^Konstanten!$B$18*(Massenstromrechnung!$X$4-(Iteration!BV26+Massenstromrechnung!$X$3)/2)^Konstanten!$C$18*BX26^Konstanten!$D$18*((Massenstromrechnung!$X$3+Iteration!BV26)/2)^Konstanten!$E$18+(Iteration!BV26-Massenstromrechnung!$X$3)^Konstanten!$F$18)&lt;1,BX26,BX26*Konstanten!$A$18*(Massenstromrechnung!$Y$6^Konstanten!$B$18*(Massenstromrechnung!$X$4-(Iteration!BV26+Massenstromrechnung!$X$3)/2)^Konstanten!$C$18*BX26^Konstanten!$D$18*((Massenstromrechnung!$X$3+Iteration!BV26)/2)^Konstanten!$E$18+(Iteration!BV26-Massenstromrechnung!$X$3)^Konstanten!$F$18)))</f>
        <v>580.68706073123758</v>
      </c>
      <c r="BZ26" s="101">
        <f>BY26/(Massenstromrechnung!$AA36*Konstanten!$K$3/3.6)+Massenstromrechnung!$X$3</f>
        <v>11.320123158680138</v>
      </c>
      <c r="CA26" s="103" t="str">
        <f>IF(OR(Massenstromrechnung!$Y$6&lt;(BZ26*50+Massenstromrechnung!$X$3)/51,(Massenstromrechnung!$Y$6-(BZ26*51+Massenstromrechnung!$X$3)/51)&lt;0.7),"trocken","feucht")</f>
        <v>feucht</v>
      </c>
      <c r="CB26" s="104">
        <f>(Massenstromrechnung!$X$4-(Massenstromrechnung!$X$3+BZ26)/2)^Konstanten!$E$7*$AK26*$AL26^Konstanten!$F$7*(BZ26-Massenstromrechnung!$X$3)^Konstanten!$G$7*((Massenstromrechnung!$X$3+BZ26)/2)^Konstanten!$H$7*(Konstanten!$C$7-(BZ26-Massenstromrechnung!$X$3)^Konstanten!$I$7*Konstanten!$D$7)</f>
        <v>506.2030156648745</v>
      </c>
      <c r="CC26" s="104">
        <f>IF(CA26="trocken",CB26,IF(Konstanten!$A$18*(Massenstromrechnung!$Y$6^Konstanten!$B$18*(Massenstromrechnung!$X$4-(Iteration!BZ26+Massenstromrechnung!$X$3)/2)^Konstanten!$C$18*CB26^Konstanten!$D$18*((Massenstromrechnung!$X$3+Iteration!BZ26)/2)^Konstanten!$E$18+(Iteration!BZ26-Massenstromrechnung!$X$3)^Konstanten!$F$18)&lt;1,CB26,CB26*Konstanten!$A$18*(Massenstromrechnung!$Y$6^Konstanten!$B$18*(Massenstromrechnung!$X$4-(Iteration!BZ26+Massenstromrechnung!$X$3)/2)^Konstanten!$C$18*CB26^Konstanten!$D$18*((Massenstromrechnung!$X$3+Iteration!BZ26)/2)^Konstanten!$E$18+(Iteration!BZ26-Massenstromrechnung!$X$3)^Konstanten!$F$18)))</f>
        <v>713.0786541565783</v>
      </c>
      <c r="CD26" s="101">
        <f>CC26/(Massenstromrechnung!$AA36*Konstanten!$K$3/3.6)+Massenstromrechnung!$X$3</f>
        <v>12.305073620726162</v>
      </c>
      <c r="CE26" s="103" t="str">
        <f>IF(OR(Massenstromrechnung!$Y$6&lt;(CD26*50+Massenstromrechnung!$X$3)/51,(Massenstromrechnung!$Y$6-(CD26*51+Massenstromrechnung!$X$3)/51)&lt;0.7),"trocken","feucht")</f>
        <v>feucht</v>
      </c>
      <c r="CF26" s="104">
        <f>(Massenstromrechnung!$X$4-(Massenstromrechnung!$X$3+CD26)/2)^Konstanten!$E$7*$AK26*$AL26^Konstanten!$F$7*(CD26-Massenstromrechnung!$X$3)^Konstanten!$G$7*((Massenstromrechnung!$X$3+CD26)/2)^Konstanten!$H$7*(Konstanten!$C$7-(CD26-Massenstromrechnung!$X$3)^Konstanten!$I$7*Konstanten!$D$7)</f>
        <v>476.36133635548168</v>
      </c>
      <c r="CG26" s="104">
        <f>IF(CE26="trocken",CF26,IF(Konstanten!$A$18*(Massenstromrechnung!$Y$6^Konstanten!$B$18*(Massenstromrechnung!$X$4-(Iteration!CD26+Massenstromrechnung!$X$3)/2)^Konstanten!$C$18*CF26^Konstanten!$D$18*((Massenstromrechnung!$X$3+Iteration!CD26)/2)^Konstanten!$E$18+(Iteration!CD26-Massenstromrechnung!$X$3)^Konstanten!$F$18)&lt;1,CF26,CF26*Konstanten!$A$18*(Massenstromrechnung!$Y$6^Konstanten!$B$18*(Massenstromrechnung!$X$4-(Iteration!CD26+Massenstromrechnung!$X$3)/2)^Konstanten!$C$18*CF26^Konstanten!$D$18*((Massenstromrechnung!$X$3+Iteration!CD26)/2)^Konstanten!$E$18+(Iteration!CD26-Massenstromrechnung!$X$3)^Konstanten!$F$18)))</f>
        <v>655.34831228277051</v>
      </c>
      <c r="CH26" s="101">
        <f>CG26/(Massenstromrechnung!$AA36*Konstanten!$K$3/3.6)+Massenstromrechnung!$X$3</f>
        <v>11.875578624620175</v>
      </c>
      <c r="CI26" s="103" t="str">
        <f>IF(OR(Massenstromrechnung!$Y$6&lt;(CH26*50+Massenstromrechnung!$X$3)/51,(Massenstromrechnung!$Y$6-(CH26*51+Massenstromrechnung!$X$3)/51)&lt;0.7),"trocken","feucht")</f>
        <v>feucht</v>
      </c>
      <c r="CJ26" s="104">
        <f>(Massenstromrechnung!$X$4-(Massenstromrechnung!$X$3+CH26)/2)^Konstanten!$E$7*$AK26*$AL26^Konstanten!$F$7*(CH26-Massenstromrechnung!$X$3)^Konstanten!$G$7*((Massenstromrechnung!$X$3+CH26)/2)^Konstanten!$H$7*(Konstanten!$C$7-(CH26-Massenstromrechnung!$X$3)^Konstanten!$I$7*Konstanten!$D$7)</f>
        <v>488.79377191464249</v>
      </c>
      <c r="CK26" s="104">
        <f>IF(CI26="trocken",CJ26,IF(Konstanten!$A$18*(Massenstromrechnung!$Y$6^Konstanten!$B$18*(Massenstromrechnung!$X$4-(Iteration!CH26+Massenstromrechnung!$X$3)/2)^Konstanten!$C$18*CJ26^Konstanten!$D$18*((Massenstromrechnung!$X$3+Iteration!CH26)/2)^Konstanten!$E$18+(Iteration!CH26-Massenstromrechnung!$X$3)^Konstanten!$F$18)&lt;1,CJ26,CJ26*Konstanten!$A$18*(Massenstromrechnung!$Y$6^Konstanten!$B$18*(Massenstromrechnung!$X$4-(Iteration!CH26+Massenstromrechnung!$X$3)/2)^Konstanten!$C$18*CJ26^Konstanten!$D$18*((Massenstromrechnung!$X$3+Iteration!CH26)/2)^Konstanten!$E$18+(Iteration!CH26-Massenstromrechnung!$X$3)^Konstanten!$F$18)))</f>
        <v>679.16857452647071</v>
      </c>
      <c r="CL26" s="101">
        <f>CK26/(Massenstromrechnung!$AA36*Konstanten!$K$3/3.6)+Massenstromrechnung!$X$3</f>
        <v>12.052793640286716</v>
      </c>
      <c r="CM26" s="103" t="str">
        <f>IF(OR(Massenstromrechnung!$Y$6&lt;(CL26*50+Massenstromrechnung!$X$3)/51,(Massenstromrechnung!$Y$6-(CL26*51+Massenstromrechnung!$X$3)/51)&lt;0.7),"trocken","feucht")</f>
        <v>feucht</v>
      </c>
      <c r="CN26" s="104">
        <f>(Massenstromrechnung!$X$4-(Massenstromrechnung!$X$3+CL26)/2)^Konstanten!$E$7*$AK26*$AL26^Konstanten!$F$7*(CL26-Massenstromrechnung!$X$3)^Konstanten!$G$7*((Massenstromrechnung!$X$3+CL26)/2)^Konstanten!$H$7*(Konstanten!$C$7-(CL26-Massenstromrechnung!$X$3)^Konstanten!$I$7*Konstanten!$D$7)</f>
        <v>483.56631953323534</v>
      </c>
      <c r="CO26" s="104">
        <f>IF(CM26="trocken",CN26,IF(Konstanten!$A$18*(Massenstromrechnung!$Y$6^Konstanten!$B$18*(Massenstromrechnung!$X$4-(Iteration!CL26+Massenstromrechnung!$X$3)/2)^Konstanten!$C$18*CN26^Konstanten!$D$18*((Massenstromrechnung!$X$3+Iteration!CL26)/2)^Konstanten!$E$18+(Iteration!CL26-Massenstromrechnung!$X$3)^Konstanten!$F$18)&lt;1,CN26,CN26*Konstanten!$A$18*(Massenstromrechnung!$Y$6^Konstanten!$B$18*(Massenstromrechnung!$X$4-(Iteration!CL26+Massenstromrechnung!$X$3)/2)^Konstanten!$C$18*CN26^Konstanten!$D$18*((Massenstromrechnung!$X$3+Iteration!CL26)/2)^Konstanten!$E$18+(Iteration!CL26-Massenstromrechnung!$X$3)^Konstanten!$F$18)))</f>
        <v>669.11114664213324</v>
      </c>
      <c r="CP26" s="101">
        <f>IF(CO26/(Massenstromrechnung!$AA36*Konstanten!$K$3/3.6)+Massenstromrechnung!$X$3-Massenstromrechnung!$X$3&lt;1.4,"RLT zu niedrig",CO26/(Massenstromrechnung!$AA36*Konstanten!$K$3/3.6)+Massenstromrechnung!$X$3)</f>
        <v>11.977969642890997</v>
      </c>
      <c r="CQ26" s="103" t="str">
        <f>IF(CP26="RLT zu niedrig","RLT zu niedrig",IF(OR(Massenstromrechnung!$Y$6&lt;(CP26*50+Massenstromrechnung!$X$3)/51,(Massenstromrechnung!$Y$6-(CP26*51+Massenstromrechnung!$X$3)/51)&lt;0.7),"trocken","feucht"))</f>
        <v>feucht</v>
      </c>
      <c r="CR26" s="104">
        <f>IF(CP26="RLT zu niedrig","RLT zu niedrig",(Massenstromrechnung!$X$4-(Massenstromrechnung!$X$3+CP26)/2)^Konstanten!$E$7*$AK26*$AL26^Konstanten!$F$7*(CP26-Massenstromrechnung!$X$3)^Konstanten!$G$7*((Massenstromrechnung!$X$3+CP26)/2)^Konstanten!$H$7*(Konstanten!$C$7-(CP26-Massenstromrechnung!$X$3)^Konstanten!$I$7*Konstanten!$D$7))</f>
        <v>485.75596560443353</v>
      </c>
      <c r="CS26" s="104">
        <f>IF(CP26="RLT zu niedrig","RLT zu niedrig",IF(CQ26="trocken",CR26,IF(Konstanten!$A$18*(Massenstromrechnung!$Y$6^Konstanten!$B$18*(Massenstromrechnung!$X$4-(Iteration!CP26+Massenstromrechnung!$X$3)/2)^Konstanten!$C$18*CR26^Konstanten!$D$18*((Massenstromrechnung!$X$3+Iteration!CP26)/2)^Konstanten!$E$18+(Iteration!CP26-Massenstromrechnung!$X$3)^Konstanten!$F$18)&lt;1,CR26,CR26*Konstanten!$A$18*(Massenstromrechnung!$Y$6^Konstanten!$B$18*(Massenstromrechnung!$X$4-(Iteration!CP26+Massenstromrechnung!$X$3)/2)^Konstanten!$C$18*CR26^Konstanten!$D$18*((Massenstromrechnung!$X$3+Iteration!CP26)/2)^Konstanten!$E$18+(Iteration!CP26-Massenstromrechnung!$X$3)^Konstanten!$F$18))))</f>
        <v>673.31668854248403</v>
      </c>
    </row>
    <row r="27" spans="1:97" x14ac:dyDescent="0.3">
      <c r="A27">
        <f>Massenstromrechnung!B37</f>
        <v>2520</v>
      </c>
      <c r="B27" s="53">
        <v>1205</v>
      </c>
      <c r="C27" s="103">
        <f>IF(Massenstromrechnung!$K$3-10&lt;=Massenstromrechnung!$K$4,Massenstromrechnung!$K$3-0.75*(Massenstromrechnung!$K$3-Massenstromrechnung!$K$4),Massenstromrechnung!$K$3-10)</f>
        <v>65</v>
      </c>
      <c r="D27" s="103">
        <f>-1*((Massenstromrechnung!$K$3+C27)/2-Massenstromrechnung!$K$4)^Konstanten!$E$4*Massenstromrechnung!$B37*Massenstromrechnung!$C37^Konstanten!$F$4*(Massenstromrechnung!$K$3-C27)^Konstanten!$G$4*((Massenstromrechnung!$K$3+C27)/2)^Konstanten!$H$4*(Konstanten!$C$4-((Massenstromrechnung!$K$3-C27)^Konstanten!$I$4*Konstanten!$D$4))/(Massenstromrechnung!$F37*Konstanten!$K$3/3.6)+Massenstromrechnung!$K$3</f>
        <v>65</v>
      </c>
      <c r="E27" s="103">
        <f t="shared" si="6"/>
        <v>65</v>
      </c>
      <c r="F27" s="103">
        <f>-1*((Massenstromrechnung!$K$3+E27)/2-Massenstromrechnung!$K$4)^Konstanten!$E$4*Massenstromrechnung!$B37*Massenstromrechnung!$C37^Konstanten!$F$4*(Massenstromrechnung!$K$3-E27)^Konstanten!$G$4*((Massenstromrechnung!$K$3+E27)/2)^Konstanten!$H$4*(Konstanten!$C$4-((Massenstromrechnung!$K$3-E27)^Konstanten!$I$4*Konstanten!$D$4))/(Massenstromrechnung!$F37*Konstanten!$K$3/3.6)+Massenstromrechnung!$K$3</f>
        <v>65</v>
      </c>
      <c r="G27" s="103">
        <f t="shared" si="0"/>
        <v>65</v>
      </c>
      <c r="H27" s="103">
        <f>-1*((Massenstromrechnung!$K$3+G27)/2-Massenstromrechnung!$K$4)^Konstanten!$E$4*Massenstromrechnung!$B37*Massenstromrechnung!$C37^Konstanten!$F$4*(Massenstromrechnung!$K$3-G27)^Konstanten!$G$4*((Massenstromrechnung!$K$3+G27)/2)^Konstanten!$H$4*(Konstanten!$C$4-((Massenstromrechnung!$K$3-G27)^Konstanten!$I$4*Konstanten!$D$4))/(Massenstromrechnung!$F37*Konstanten!$K$3/3.6)+Massenstromrechnung!$K$3</f>
        <v>65</v>
      </c>
      <c r="I27" s="103">
        <f t="shared" si="1"/>
        <v>65</v>
      </c>
      <c r="J27" s="103">
        <f>-1*((Massenstromrechnung!$K$3+I27)/2-Massenstromrechnung!$K$4)^Konstanten!$E$4*Massenstromrechnung!$B37*Massenstromrechnung!$C37^Konstanten!$F$4*(Massenstromrechnung!$K$3-I27)^Konstanten!$G$4*((Massenstromrechnung!$K$3+I27)/2)^Konstanten!$H$4*(Konstanten!$C$4-((Massenstromrechnung!$K$3-I27)^Konstanten!$I$4*Konstanten!$D$4))/(Massenstromrechnung!$F37*Konstanten!$K$3/3.6)+Massenstromrechnung!$K$3</f>
        <v>65</v>
      </c>
      <c r="K27" s="103">
        <f t="shared" si="2"/>
        <v>65</v>
      </c>
      <c r="L27" s="103">
        <f>-1*((Massenstromrechnung!$K$3+K27)/2-Massenstromrechnung!$K$4)^Konstanten!$E$4*Massenstromrechnung!$B37*Massenstromrechnung!$C37^Konstanten!$F$4*(Massenstromrechnung!$K$3-K27)^Konstanten!$G$4*((Massenstromrechnung!$K$3+K27)/2)^Konstanten!$H$4*(Konstanten!$C$4-((Massenstromrechnung!$K$3-K27)^Konstanten!$I$4*Konstanten!$D$4))/(Massenstromrechnung!$F37*Konstanten!$K$3/3.6)+Massenstromrechnung!$K$3</f>
        <v>65</v>
      </c>
      <c r="N27">
        <f>'Katalogdaten M3G045'!B41</f>
        <v>2520</v>
      </c>
      <c r="O27" s="53">
        <v>1205</v>
      </c>
      <c r="P27" s="103">
        <f>IF(Massenstromrechnung!$K$3-10&lt;=Massenstromrechnung!$K$4,Massenstromrechnung!$K$3-0.75*(Massenstromrechnung!$K$3-Massenstromrechnung!$K$4),Massenstromrechnung!$K$3-10)</f>
        <v>65</v>
      </c>
      <c r="Q27" s="103" t="e">
        <f>-1*((Massenstromrechnung!$K$3+P27)/2-Massenstromrechnung!$K$4)^Konstanten!$E$4*Massenstromrechnung!$B37*Massenstromrechnung!$C37^Konstanten!$F$4*(Massenstromrechnung!$K$3-P27)^Konstanten!$G$4*((Massenstromrechnung!$K$3+P27)/2)^Konstanten!$H$4*(Konstanten!$C$4-((Massenstromrechnung!$K$3-P27)^Konstanten!$I$4*Konstanten!$D$4))/(Massenstromrechnung!#REF!*Konstanten!$K$3/3.6)+Massenstromrechnung!$K$3</f>
        <v>#REF!</v>
      </c>
      <c r="R27" s="103" t="e">
        <f t="shared" si="7"/>
        <v>#REF!</v>
      </c>
      <c r="S27" s="103" t="e">
        <f>-1*((Massenstromrechnung!$K$3+R27)/2-Massenstromrechnung!$K$4)^Konstanten!$E$4*Massenstromrechnung!$B37*Massenstromrechnung!$C37^Konstanten!$F$4*(Massenstromrechnung!$K$3-R27)^Konstanten!$G$4*((Massenstromrechnung!$K$3+R27)/2)^Konstanten!$H$4*(Konstanten!$C$4-((Massenstromrechnung!$K$3-R27)^Konstanten!$I$4*Konstanten!$D$4))/(Massenstromrechnung!#REF!*Konstanten!$K$3/3.6)+Massenstromrechnung!$K$3</f>
        <v>#REF!</v>
      </c>
      <c r="T27" s="103" t="e">
        <f t="shared" si="3"/>
        <v>#REF!</v>
      </c>
      <c r="U27" s="103" t="e">
        <f>-1*((Massenstromrechnung!$K$3+T27)/2-Massenstromrechnung!$K$4)^Konstanten!$E$4*Massenstromrechnung!$B37*Massenstromrechnung!$C37^Konstanten!$F$4*(Massenstromrechnung!$K$3-T27)^Konstanten!$G$4*((Massenstromrechnung!$K$3+T27)/2)^Konstanten!$H$4*(Konstanten!$C$4-((Massenstromrechnung!$K$3-T27)^Konstanten!$I$4*Konstanten!$D$4))/(Massenstromrechnung!#REF!*Konstanten!$K$3/3.6)+Massenstromrechnung!$K$3</f>
        <v>#REF!</v>
      </c>
      <c r="V27" s="103" t="e">
        <f t="shared" si="4"/>
        <v>#REF!</v>
      </c>
      <c r="W27" s="103" t="e">
        <f>-1*((Massenstromrechnung!$K$3+V27)/2-Massenstromrechnung!$K$4)^Konstanten!$E$4*Massenstromrechnung!$B37*Massenstromrechnung!$C37^Konstanten!$F$4*(Massenstromrechnung!$K$3-V27)^Konstanten!$G$4*((Massenstromrechnung!$K$3+V27)/2)^Konstanten!$H$4*(Konstanten!$C$4-((Massenstromrechnung!$K$3-V27)^Konstanten!$I$4*Konstanten!$D$4))/(Massenstromrechnung!#REF!*Konstanten!$K$3/3.6)+Massenstromrechnung!$K$3</f>
        <v>#REF!</v>
      </c>
      <c r="X27" s="103" t="e">
        <f t="shared" si="5"/>
        <v>#REF!</v>
      </c>
      <c r="Y27" s="103" t="e">
        <f>-1*((Massenstromrechnung!$K$3+X27)/2-Massenstromrechnung!$K$4)^Konstanten!$E$4*Massenstromrechnung!$B37*Massenstromrechnung!$C37^Konstanten!$F$4*(Massenstromrechnung!$K$3-X27)^Konstanten!$G$4*((Massenstromrechnung!$K$3+X27)/2)^Konstanten!$H$4*(Konstanten!$C$4-((Massenstromrechnung!$K$3-X27)^Konstanten!$I$4*Konstanten!$D$4))/(Massenstromrechnung!#REF!*Konstanten!$K$3/3.6)+Massenstromrechnung!$K$3</f>
        <v>#REF!</v>
      </c>
      <c r="AA27">
        <f t="shared" si="8"/>
        <v>2520</v>
      </c>
      <c r="AB27">
        <f t="shared" si="8"/>
        <v>1205</v>
      </c>
      <c r="AC27" s="103">
        <f>IF(Massenstromrechnung!$K$3-10&lt;=Massenstromrechnung!$K$4,Massenstromrechnung!$K$3-0.75*(Massenstromrechnung!$K$3-Massenstromrechnung!$K$4),Massenstromrechnung!$K$3-10)</f>
        <v>65</v>
      </c>
      <c r="AD27" s="103">
        <f>-1*((Massenstromrechnung!$K$3+AC27)/2-Massenstromrechnung!$K$4)^Konstanten!$E$5*$AA27*$AB27^Konstanten!$F$5*(Massenstromrechnung!$K$3-AC27)^Konstanten!$G$5*((Massenstromrechnung!$K$3+AC27)/2)^Konstanten!$H$5*(Konstanten!$C$5-((Massenstromrechnung!$K$3-AC27)^Konstanten!$I$5*Konstanten!$D$5))/(Massenstromrechnung!$L37*Konstanten!$K$3/3.6)+Massenstromrechnung!$K$3</f>
        <v>65</v>
      </c>
      <c r="AE27" s="103">
        <f>-1*((Massenstromrechnung!$K$3+AD27)/2-Massenstromrechnung!$K$4)^Konstanten!$E$5*$AA27*$AB27^Konstanten!$F$5*(Massenstromrechnung!$K$3-AD27)^Konstanten!$G$5*((Massenstromrechnung!$K$3+AD27)/2)^Konstanten!$H$5*(Konstanten!$C$5-((Massenstromrechnung!$K$3-AD27)^Konstanten!$I$5*Konstanten!$D$5))/(Massenstromrechnung!$L37*Konstanten!$K$3/3.6)+Massenstromrechnung!$K$3</f>
        <v>65</v>
      </c>
      <c r="AF27" s="103">
        <f>-1*((Massenstromrechnung!$K$3+AE27)/2-Massenstromrechnung!$K$4)^Konstanten!$E$5*$AA27*$AB27^Konstanten!$F$5*(Massenstromrechnung!$K$3-AE27)^Konstanten!$G$5*((Massenstromrechnung!$K$3+AE27)/2)^Konstanten!$H$5*(Konstanten!$C$5-((Massenstromrechnung!$K$3-AE27)^Konstanten!$I$5*Konstanten!$D$5))/(Massenstromrechnung!$L37*Konstanten!$K$3/3.6)+Massenstromrechnung!$K$3</f>
        <v>65</v>
      </c>
      <c r="AG27" s="103">
        <f>-1*((Massenstromrechnung!$K$3+AF27)/2-Massenstromrechnung!$K$4)^Konstanten!$E$5*$AA27*$AB27^Konstanten!$F$5*(Massenstromrechnung!$K$3-AF27)^Konstanten!$G$5*((Massenstromrechnung!$K$3+AF27)/2)^Konstanten!$H$5*(Konstanten!$C$5-((Massenstromrechnung!$K$3-AF27)^Konstanten!$I$5*Konstanten!$D$5))/(Massenstromrechnung!$L37*Konstanten!$K$3/3.6)+Massenstromrechnung!$K$3</f>
        <v>65</v>
      </c>
      <c r="AH27" s="103">
        <f>-1*((Massenstromrechnung!$K$3+AG27)/2-Massenstromrechnung!$K$4)^Konstanten!$E$5*$AA27*$AB27^Konstanten!$F$5*(Massenstromrechnung!$K$3-AG27)^Konstanten!$G$5*((Massenstromrechnung!$K$3+AG27)/2)^Konstanten!$H$5*(Konstanten!$C$5-((Massenstromrechnung!$K$3-AG27)^Konstanten!$I$5*Konstanten!$D$5))/(Massenstromrechnung!$L37*Konstanten!$K$3/3.6)+Massenstromrechnung!$K$3</f>
        <v>65</v>
      </c>
      <c r="AI27" s="103">
        <f>-1*((Massenstromrechnung!$K$3+AH27)/2-Massenstromrechnung!$K$4)^Konstanten!$E$5*$AA27*$AB27^Konstanten!$F$5*(Massenstromrechnung!$K$3-AH27)^Konstanten!$G$5*((Massenstromrechnung!$K$3+AH27)/2)^Konstanten!$H$5*(Konstanten!$C$5-((Massenstromrechnung!$K$3-AH27)^Konstanten!$I$5*Konstanten!$D$5))/(Massenstromrechnung!$L37*Konstanten!$K$3/3.6)+Massenstromrechnung!$K$3</f>
        <v>65</v>
      </c>
      <c r="AK27">
        <f t="shared" si="9"/>
        <v>2520</v>
      </c>
      <c r="AL27">
        <f t="shared" si="9"/>
        <v>1205</v>
      </c>
      <c r="AM27" s="103">
        <f>Massenstromrechnung!$X$3+2</f>
        <v>9</v>
      </c>
      <c r="AN27" s="103" t="str">
        <f>IF(OR(Massenstromrechnung!$Y$6&lt;(AM27*50+Massenstromrechnung!$X$3)/51,(Massenstromrechnung!$Y$6-(AM27*51+Massenstromrechnung!$X$3)/51)&lt;0.7),"trocken","feucht")</f>
        <v>feucht</v>
      </c>
      <c r="AO27" s="104">
        <f>(Massenstromrechnung!$X$4-(Massenstromrechnung!$X$3+AM27)/2)^Konstanten!$E$6*$AK27*$AL27^Konstanten!$F$6*(AM27-Massenstromrechnung!$X$3)^Konstanten!$G$6*((Massenstromrechnung!$X$3+AM27)/2)^Konstanten!$H$6*(Konstanten!$C$6-(AM27-Massenstromrechnung!$X$3)^Konstanten!$I$6*Konstanten!$D$6)</f>
        <v>5188.6472737021086</v>
      </c>
      <c r="AP27" s="104">
        <f>IF(AN27="trocken",AO27,IF(Konstanten!$A$18*(Massenstromrechnung!$Y$6^Konstanten!$B$18*(Massenstromrechnung!$X$4-(Iteration!AM27+Massenstromrechnung!$X$3)/2)^Konstanten!$C$18*AO27^Konstanten!$D$18*((Massenstromrechnung!$X$3+Iteration!AM27)/2)^Konstanten!$E$18+(Iteration!AM27-Massenstromrechnung!$X$3)^Konstanten!$F$18)&lt;1,AO27,AO27*Konstanten!$A$18*(Massenstromrechnung!$Y$6^Konstanten!$B$18*(Massenstromrechnung!$X$4-(Iteration!AM27+Massenstromrechnung!$X$3)/2)^Konstanten!$C$18*AO27^Konstanten!$D$18*((Massenstromrechnung!$X$3+Iteration!AM27)/2)^Konstanten!$E$18+(Iteration!AM27-Massenstromrechnung!$X$3)^Konstanten!$F$18)))</f>
        <v>7406.6763072062568</v>
      </c>
      <c r="AQ27" s="101">
        <f>AP27/(Massenstromrechnung!$R37*Konstanten!$K$3/3.6)+Massenstromrechnung!$X$3</f>
        <v>13.225025666556352</v>
      </c>
      <c r="AR27" s="103" t="str">
        <f>IF(OR(Massenstromrechnung!$Y$6&lt;(AQ27*50+Massenstromrechnung!$X$3)/51,(Massenstromrechnung!$Y$6-(AQ27*51+Massenstromrechnung!$X$3)/51)&lt;0.7),"trocken","feucht")</f>
        <v>feucht</v>
      </c>
      <c r="AS27" s="104">
        <f>(Massenstromrechnung!$X$4-(Massenstromrechnung!$X$3+AQ27)/2)^Konstanten!$E$6*$AK27*$AL27^Konstanten!$F$6*(AQ27-Massenstromrechnung!$X$3)^Konstanten!$G$6*((Massenstromrechnung!$X$3+AQ27)/2)^Konstanten!$H$6*(Konstanten!$C$6-(AQ27-Massenstromrechnung!$X$3)^Konstanten!$I$6*Konstanten!$D$6)</f>
        <v>4333.5798128580736</v>
      </c>
      <c r="AT27" s="104">
        <f>IF(AR27="trocken",AS27,IF(Konstanten!$A$18*(Massenstromrechnung!$Y$6^Konstanten!$B$18*(Massenstromrechnung!$X$4-(Iteration!AQ27+Massenstromrechnung!$X$3)/2)^Konstanten!$C$18*AS27^Konstanten!$D$18*((Massenstromrechnung!$X$3+Iteration!AQ27)/2)^Konstanten!$E$18+(Iteration!AQ27-Massenstromrechnung!$X$3)^Konstanten!$F$18)&lt;1,AS27,AS27*Konstanten!$A$18*(Massenstromrechnung!$Y$6^Konstanten!$B$18*(Massenstromrechnung!$X$4-(Iteration!AQ27+Massenstromrechnung!$X$3)/2)^Konstanten!$C$18*AS27^Konstanten!$D$18*((Massenstromrechnung!$X$3+Iteration!AQ27)/2)^Konstanten!$E$18+(Iteration!AQ27-Massenstromrechnung!$X$3)^Konstanten!$F$18)))</f>
        <v>5463.991755645915</v>
      </c>
      <c r="AU27" s="101">
        <f>AT27/(Massenstromrechnung!$R37*Konstanten!$K$3/3.6)+Massenstromrechnung!$X$3</f>
        <v>11.592274255006259</v>
      </c>
      <c r="AV27" s="103" t="str">
        <f>IF(OR(Massenstromrechnung!$Y$6&lt;(AU27*50+Massenstromrechnung!$X$3)/51,(Massenstromrechnung!$Y$6-(AU27*51+Massenstromrechnung!$X$3)/51)&lt;0.7),"trocken","feucht")</f>
        <v>feucht</v>
      </c>
      <c r="AW27" s="104">
        <f>(Massenstromrechnung!$X$4-(Massenstromrechnung!$X$3+AU27)/2)^Konstanten!$E$6*$AK27*$AL27^Konstanten!$F$6*(AU27-Massenstromrechnung!$X$3)^Konstanten!$G$6*((Massenstromrechnung!$X$3+AU27)/2)^Konstanten!$H$6*(Konstanten!$C$6-(AU27-Massenstromrechnung!$X$3)^Konstanten!$I$6*Konstanten!$D$6)</f>
        <v>4680.6828438691045</v>
      </c>
      <c r="AX27" s="104">
        <f>IF(AV27="trocken",AW27,IF(Konstanten!$A$18*(Massenstromrechnung!$Y$6^Konstanten!$B$18*(Massenstromrechnung!$X$4-(Iteration!AU27+Massenstromrechnung!$X$3)/2)^Konstanten!$C$18*AW27^Konstanten!$D$18*((Massenstromrechnung!$X$3+Iteration!AU27)/2)^Konstanten!$E$18+(Iteration!AU27-Massenstromrechnung!$X$3)^Konstanten!$F$18)&lt;1,AW27,AW27*Konstanten!$A$18*(Massenstromrechnung!$Y$6^Konstanten!$B$18*(Massenstromrechnung!$X$4-(Iteration!AU27+Massenstromrechnung!$X$3)/2)^Konstanten!$C$18*AW27^Konstanten!$D$18*((Massenstromrechnung!$X$3+Iteration!AU27)/2)^Konstanten!$E$18+(Iteration!AU27-Massenstromrechnung!$X$3)^Konstanten!$F$18)))</f>
        <v>6126.7089907466861</v>
      </c>
      <c r="AY27" s="101">
        <f>AX27/(Massenstromrechnung!$R37*Konstanten!$K$3/3.6)+Massenstromrechnung!$X$3</f>
        <v>12.149262521680983</v>
      </c>
      <c r="AZ27" s="103" t="str">
        <f>IF(OR(Massenstromrechnung!$Y$6&lt;(AY27*50+Massenstromrechnung!$X$3)/51,(Massenstromrechnung!$Y$6-(AY27*51+Massenstromrechnung!$X$3)/51)&lt;0.7),"trocken","feucht")</f>
        <v>feucht</v>
      </c>
      <c r="BA27" s="104">
        <f>(Massenstromrechnung!$X$4-(Massenstromrechnung!$X$3+AY27)/2)^Konstanten!$E$6*$AK27*$AL27^Konstanten!$F$6*(AY27-Massenstromrechnung!$X$3)^Konstanten!$G$6*((Massenstromrechnung!$X$3+AY27)/2)^Konstanten!$H$6*(Konstanten!$C$6-(AY27-Massenstromrechnung!$X$3)^Konstanten!$I$6*Konstanten!$D$6)</f>
        <v>4558.863082233649</v>
      </c>
      <c r="BB27" s="104">
        <f>IF(AZ27="trocken",BA27,IF(Konstanten!$A$18*(Massenstromrechnung!$Y$6^Konstanten!$B$18*(Massenstromrechnung!$X$4-(Iteration!AY27+Massenstromrechnung!$X$3)/2)^Konstanten!$C$18*BA27^Konstanten!$D$18*((Massenstromrechnung!$X$3+Iteration!AY27)/2)^Konstanten!$E$18+(Iteration!AY27-Massenstromrechnung!$X$3)^Konstanten!$F$18)&lt;1,BA27,BA27*Konstanten!$A$18*(Massenstromrechnung!$Y$6^Konstanten!$B$18*(Massenstromrechnung!$X$4-(Iteration!AY27+Massenstromrechnung!$X$3)/2)^Konstanten!$C$18*BA27^Konstanten!$D$18*((Massenstromrechnung!$X$3+Iteration!AY27)/2)^Konstanten!$E$18+(Iteration!AY27-Massenstromrechnung!$X$3)^Konstanten!$F$18)))</f>
        <v>5886.215418238542</v>
      </c>
      <c r="BC27" s="101">
        <f>BB27/(Massenstromrechnung!$R37*Konstanten!$K$3/3.6)+Massenstromrechnung!$X$3</f>
        <v>11.947136952881863</v>
      </c>
      <c r="BD27" s="103" t="str">
        <f>IF(OR(Massenstromrechnung!$Y$6&lt;(BC27*50+Massenstromrechnung!$X$3)/51,(Massenstromrechnung!$Y$6-(BC27*51+Massenstromrechnung!$X$3)/51)&lt;0.7),"trocken","feucht")</f>
        <v>feucht</v>
      </c>
      <c r="BE27" s="104">
        <f>(Massenstromrechnung!$X$4-(Massenstromrechnung!$X$3+BC27)/2)^Konstanten!$E$6*$AK27*$AL27^Konstanten!$F$6*(BC27-Massenstromrechnung!$X$3)^Konstanten!$G$6*((Massenstromrechnung!$X$3+BC27)/2)^Konstanten!$H$6*(Konstanten!$C$6-(BC27-Massenstromrechnung!$X$3)^Konstanten!$I$6*Konstanten!$D$6)</f>
        <v>4602.7058617553266</v>
      </c>
      <c r="BF27" s="104">
        <f>IF(BD27="trocken",BE27,IF(Konstanten!$A$18*(Massenstromrechnung!$Y$6^Konstanten!$B$18*(Massenstromrechnung!$X$4-(Iteration!BC27+Massenstromrechnung!$X$3)/2)^Konstanten!$C$18*BE27^Konstanten!$D$18*((Massenstromrechnung!$X$3+Iteration!BC27)/2)^Konstanten!$E$18+(Iteration!BC27-Massenstromrechnung!$X$3)^Konstanten!$F$18)&lt;1,BE27,BE27*Konstanten!$A$18*(Massenstromrechnung!$Y$6^Konstanten!$B$18*(Massenstromrechnung!$X$4-(Iteration!BC27+Massenstromrechnung!$X$3)/2)^Konstanten!$C$18*BE27^Konstanten!$D$18*((Massenstromrechnung!$X$3+Iteration!BC27)/2)^Konstanten!$E$18+(Iteration!BC27-Massenstromrechnung!$X$3)^Konstanten!$F$18)))</f>
        <v>5971.6573252574708</v>
      </c>
      <c r="BG27" s="101">
        <f>BF27/(Massenstromrechnung!$R37*Konstanten!$K$3/3.6)+Massenstromrechnung!$X$3</f>
        <v>12.018947579150877</v>
      </c>
      <c r="BH27" s="103" t="str">
        <f>IF(OR(Massenstromrechnung!$Y$6&lt;(BG27*50+Massenstromrechnung!$X$3)/51,(Massenstromrechnung!$Y$6-(BG27*51+Massenstromrechnung!$X$3)/51)&lt;0.7),"trocken","feucht")</f>
        <v>feucht</v>
      </c>
      <c r="BI27" s="104">
        <f>(Massenstromrechnung!$X$4-(Massenstromrechnung!$X$3+BG27)/2)^Konstanten!$E$6*$AK27*$AL27^Konstanten!$F$6*(BG27-Massenstromrechnung!$X$3)^Konstanten!$G$6*((Massenstromrechnung!$X$3+BG27)/2)^Konstanten!$H$6*(Konstanten!$C$6-(BG27-Massenstromrechnung!$X$3)^Konstanten!$I$6*Konstanten!$D$6)</f>
        <v>4587.0788259348892</v>
      </c>
      <c r="BJ27" s="104">
        <f>IF(BH27="trocken",BI27,IF(Konstanten!$A$18*(Massenstromrechnung!$Y$6^Konstanten!$B$18*(Massenstromrechnung!$X$4-(Iteration!BG27+Massenstromrechnung!$X$3)/2)^Konstanten!$C$18*BI27^Konstanten!$D$18*((Massenstromrechnung!$X$3+Iteration!BG27)/2)^Konstanten!$E$18+(Iteration!BG27-Massenstromrechnung!$X$3)^Konstanten!$F$18)&lt;1,BI27,BI27*Konstanten!$A$18*(Massenstromrechnung!$Y$6^Konstanten!$B$18*(Massenstromrechnung!$X$4-(Iteration!BG27+Massenstromrechnung!$X$3)/2)^Konstanten!$C$18*BI27^Konstanten!$D$18*((Massenstromrechnung!$X$3+Iteration!BG27)/2)^Konstanten!$E$18+(Iteration!BG27-Massenstromrechnung!$X$3)^Konstanten!$F$18)))</f>
        <v>5941.066943367864</v>
      </c>
      <c r="BK27" s="101">
        <f>IF(BJ27/(Massenstromrechnung!$R37*Konstanten!$K$3/3.6)+Massenstromrechnung!$X$3-Massenstromrechnung!$X$3&lt;1.4,"RLT zu niedrig",BJ27/(Massenstromrechnung!$R37*Konstanten!$K$3/3.6)+Massenstromrechnung!$X$3)</f>
        <v>11.993237543432524</v>
      </c>
      <c r="BL27" s="103" t="str">
        <f>IF(BK27="RLT zu niedrig","RLT zu niedrig",IF(OR(Massenstromrechnung!$Y$6&lt;(BK27*50+Massenstromrechnung!$X$3)/51,(Massenstromrechnung!$Y$6-(BK27*51+Massenstromrechnung!$X$3)/51)&lt;0.7),"trocken","feucht"))</f>
        <v>feucht</v>
      </c>
      <c r="BM27" s="104">
        <f>IF(BK27="RLT zu niedrig","RLT zu niedrig",(Massenstromrechnung!$X$4-(Massenstromrechnung!$X$3+BK27)/2)^Konstanten!$E$6*$AK27*$AL27^Konstanten!$F$6*(BK27-Massenstromrechnung!$X$3)^Konstanten!$G$6*((Massenstromrechnung!$X$3+BK27)/2)^Konstanten!$H$6*(Konstanten!$C$6-(BK27-Massenstromrechnung!$X$3)^Konstanten!$I$6*Konstanten!$D$6))</f>
        <v>4592.6674032694154</v>
      </c>
      <c r="BN27" s="104">
        <f>IF(BK27="RLT zu niedrig","RLT zu niedrig",IF(BL27="trocken",BM27,IF(Konstanten!$A$18*(Massenstromrechnung!$Y$6^Konstanten!$B$18*(Massenstromrechnung!$X$4-(Iteration!BK27+Massenstromrechnung!$X$3)/2)^Konstanten!$C$18*BM27^Konstanten!$D$18*((Massenstromrechnung!$X$3+Iteration!BK27)/2)^Konstanten!$E$18+(Iteration!BK27-Massenstromrechnung!$X$3)^Konstanten!$F$18)&lt;1,BM27,BM27*Konstanten!$A$18*(Massenstromrechnung!$Y$6^Konstanten!$B$18*(Massenstromrechnung!$X$4-(Iteration!BK27+Massenstromrechnung!$X$3)/2)^Konstanten!$C$18*BM27^Konstanten!$D$18*((Massenstromrechnung!$X$3+Iteration!BK27)/2)^Konstanten!$E$18+(Iteration!BK27-Massenstromrechnung!$X$3)^Konstanten!$F$18))))</f>
        <v>5951.9891388195711</v>
      </c>
      <c r="BO27" s="101"/>
      <c r="BP27">
        <f t="shared" si="10"/>
        <v>2520</v>
      </c>
      <c r="BQ27">
        <f t="shared" si="10"/>
        <v>1205</v>
      </c>
      <c r="BR27" s="103">
        <f>Massenstromrechnung!$X$3+2</f>
        <v>9</v>
      </c>
      <c r="BS27" s="103" t="str">
        <f>IF(OR(Massenstromrechnung!$Y$6&lt;(BR27*50+Massenstromrechnung!$X$3)/51,(Massenstromrechnung!$Y$6-(BR27*51+Massenstromrechnung!$X$3)/51)&lt;0.7),"trocken","feucht")</f>
        <v>feucht</v>
      </c>
      <c r="BT27" s="104">
        <f>(Massenstromrechnung!$X$4-(Massenstromrechnung!$X$3+BR27)/2)^Konstanten!$E$7*$AK27*$AL27^Konstanten!$F$7*(BR27-Massenstromrechnung!$X$3)^Konstanten!$G$7*((Massenstromrechnung!$X$3+BR27)/2)^Konstanten!$H$7*(Konstanten!$C$7-(BR27-Massenstromrechnung!$X$3)^Konstanten!$I$7*Konstanten!$D$7)</f>
        <v>5602.6692179948814</v>
      </c>
      <c r="BU27" s="104">
        <f>IF(BS27="trocken",BT27,IF(Konstanten!$A$18*(Massenstromrechnung!$Y$6^Konstanten!$B$18*(Massenstromrechnung!$X$4-(Iteration!BR27+Massenstromrechnung!$X$3)/2)^Konstanten!$C$18*BT27^Konstanten!$D$18*((Massenstromrechnung!$X$3+Iteration!BR27)/2)^Konstanten!$E$18+(Iteration!BR27-Massenstromrechnung!$X$3)^Konstanten!$F$18)&lt;1,BT27,BT27*Konstanten!$A$18*(Massenstromrechnung!$Y$6^Konstanten!$B$18*(Massenstromrechnung!$X$4-(Iteration!BR27+Massenstromrechnung!$X$3)/2)^Konstanten!$C$18*BT27^Konstanten!$D$18*((Massenstromrechnung!$X$3+Iteration!BR27)/2)^Konstanten!$E$18+(Iteration!BR27-Massenstromrechnung!$X$3)^Konstanten!$F$18)))</f>
        <v>7979.9888493197832</v>
      </c>
      <c r="BV27" s="101">
        <f>BU27/(Massenstromrechnung!$AA37*Konstanten!$K$3/3.6)+Massenstromrechnung!$X$3</f>
        <v>13.903670377242113</v>
      </c>
      <c r="BW27" s="103" t="str">
        <f>IF(OR(Massenstromrechnung!$Y$6&lt;(BV27*50+Massenstromrechnung!$X$3)/51,(Massenstromrechnung!$Y$6-(BV27*51+Massenstromrechnung!$X$3)/51)&lt;0.7),"trocken","feucht")</f>
        <v>feucht</v>
      </c>
      <c r="BX27" s="104">
        <f>(Massenstromrechnung!$X$4-(Massenstromrechnung!$X$3+BV27)/2)^Konstanten!$E$7*$AK27*$AL27^Konstanten!$F$7*(BV27-Massenstromrechnung!$X$3)^Konstanten!$G$7*((Massenstromrechnung!$X$3+BV27)/2)^Konstanten!$H$7*(Konstanten!$C$7-(BV27-Massenstromrechnung!$X$3)^Konstanten!$I$7*Konstanten!$D$7)</f>
        <v>4003.1065991561559</v>
      </c>
      <c r="BY27" s="104">
        <f>IF(BW27="trocken",BX27,IF(Konstanten!$A$18*(Massenstromrechnung!$Y$6^Konstanten!$B$18*(Massenstromrechnung!$X$4-(Iteration!BV27+Massenstromrechnung!$X$3)/2)^Konstanten!$C$18*BX27^Konstanten!$D$18*((Massenstromrechnung!$X$3+Iteration!BV27)/2)^Konstanten!$E$18+(Iteration!BV27-Massenstromrechnung!$X$3)^Konstanten!$F$18)&lt;1,BX27,BX27*Konstanten!$A$18*(Massenstromrechnung!$Y$6^Konstanten!$B$18*(Massenstromrechnung!$X$4-(Iteration!BV27+Massenstromrechnung!$X$3)/2)^Konstanten!$C$18*BX27^Konstanten!$D$18*((Massenstromrechnung!$X$3+Iteration!BV27)/2)^Konstanten!$E$18+(Iteration!BV27-Massenstromrechnung!$X$3)^Konstanten!$F$18)))</f>
        <v>4986.7810239849996</v>
      </c>
      <c r="BZ27" s="101">
        <f>BY27/(Massenstromrechnung!$AA37*Konstanten!$K$3/3.6)+Massenstromrechnung!$X$3</f>
        <v>11.314178012418264</v>
      </c>
      <c r="CA27" s="103" t="str">
        <f>IF(OR(Massenstromrechnung!$Y$6&lt;(BZ27*50+Massenstromrechnung!$X$3)/51,(Massenstromrechnung!$Y$6-(BZ27*51+Massenstromrechnung!$X$3)/51)&lt;0.7),"trocken","feucht")</f>
        <v>feucht</v>
      </c>
      <c r="CB27" s="104">
        <f>(Massenstromrechnung!$X$4-(Massenstromrechnung!$X$3+BZ27)/2)^Konstanten!$E$7*$AK27*$AL27^Konstanten!$F$7*(BZ27-Massenstromrechnung!$X$3)^Konstanten!$G$7*((Massenstromrechnung!$X$3+BZ27)/2)^Konstanten!$H$7*(Konstanten!$C$7-(BZ27-Massenstromrechnung!$X$3)^Konstanten!$I$7*Konstanten!$D$7)</f>
        <v>4651.9473192955138</v>
      </c>
      <c r="CC27" s="104">
        <f>IF(CA27="trocken",CB27,IF(Konstanten!$A$18*(Massenstromrechnung!$Y$6^Konstanten!$B$18*(Massenstromrechnung!$X$4-(Iteration!BZ27+Massenstromrechnung!$X$3)/2)^Konstanten!$C$18*CB27^Konstanten!$D$18*((Massenstromrechnung!$X$3+Iteration!BZ27)/2)^Konstanten!$E$18+(Iteration!BZ27-Massenstromrechnung!$X$3)^Konstanten!$F$18)&lt;1,CB27,CB27*Konstanten!$A$18*(Massenstromrechnung!$Y$6^Konstanten!$B$18*(Massenstromrechnung!$X$4-(Iteration!BZ27+Massenstromrechnung!$X$3)/2)^Konstanten!$C$18*CB27^Konstanten!$D$18*((Massenstromrechnung!$X$3+Iteration!BZ27)/2)^Konstanten!$E$18+(Iteration!BZ27-Massenstromrechnung!$X$3)^Konstanten!$F$18)))</f>
        <v>6136.9135872311044</v>
      </c>
      <c r="CD27" s="101">
        <f>CC27/(Massenstromrechnung!$AA37*Konstanten!$K$3/3.6)+Massenstromrechnung!$X$3</f>
        <v>12.309183927427844</v>
      </c>
      <c r="CE27" s="103" t="str">
        <f>IF(OR(Massenstromrechnung!$Y$6&lt;(CD27*50+Massenstromrechnung!$X$3)/51,(Massenstromrechnung!$Y$6-(CD27*51+Massenstromrechnung!$X$3)/51)&lt;0.7),"trocken","feucht")</f>
        <v>feucht</v>
      </c>
      <c r="CF27" s="104">
        <f>(Massenstromrechnung!$X$4-(Massenstromrechnung!$X$3+CD27)/2)^Konstanten!$E$7*$AK27*$AL27^Konstanten!$F$7*(CD27-Massenstromrechnung!$X$3)^Konstanten!$G$7*((Massenstromrechnung!$X$3+CD27)/2)^Konstanten!$H$7*(Konstanten!$C$7-(CD27-Massenstromrechnung!$X$3)^Konstanten!$I$7*Konstanten!$D$7)</f>
        <v>4374.9553843986023</v>
      </c>
      <c r="CG27" s="104">
        <f>IF(CE27="trocken",CF27,IF(Konstanten!$A$18*(Massenstromrechnung!$Y$6^Konstanten!$B$18*(Massenstromrechnung!$X$4-(Iteration!CD27+Massenstromrechnung!$X$3)/2)^Konstanten!$C$18*CF27^Konstanten!$D$18*((Massenstromrechnung!$X$3+Iteration!CD27)/2)^Konstanten!$E$18+(Iteration!CD27-Massenstromrechnung!$X$3)^Konstanten!$F$18)&lt;1,CF27,CF27*Konstanten!$A$18*(Massenstromrechnung!$Y$6^Konstanten!$B$18*(Massenstromrechnung!$X$4-(Iteration!CD27+Massenstromrechnung!$X$3)/2)^Konstanten!$C$18*CF27^Konstanten!$D$18*((Massenstromrechnung!$X$3+Iteration!CD27)/2)^Konstanten!$E$18+(Iteration!CD27-Massenstromrechnung!$X$3)^Konstanten!$F$18)))</f>
        <v>5633.3173890368207</v>
      </c>
      <c r="CH27" s="101">
        <f>CG27/(Massenstromrechnung!$AA37*Konstanten!$K$3/3.6)+Massenstromrechnung!$X$3</f>
        <v>11.873511369331228</v>
      </c>
      <c r="CI27" s="103" t="str">
        <f>IF(OR(Massenstromrechnung!$Y$6&lt;(CH27*50+Massenstromrechnung!$X$3)/51,(Massenstromrechnung!$Y$6-(CH27*51+Massenstromrechnung!$X$3)/51)&lt;0.7),"trocken","feucht")</f>
        <v>feucht</v>
      </c>
      <c r="CJ27" s="104">
        <f>(Massenstromrechnung!$X$4-(Massenstromrechnung!$X$3+CH27)/2)^Konstanten!$E$7*$AK27*$AL27^Konstanten!$F$7*(CH27-Massenstromrechnung!$X$3)^Konstanten!$G$7*((Massenstromrechnung!$X$3+CH27)/2)^Konstanten!$H$7*(Konstanten!$C$7-(CH27-Massenstromrechnung!$X$3)^Konstanten!$I$7*Konstanten!$D$7)</f>
        <v>4490.7903707652804</v>
      </c>
      <c r="CK27" s="104">
        <f>IF(CI27="trocken",CJ27,IF(Konstanten!$A$18*(Massenstromrechnung!$Y$6^Konstanten!$B$18*(Massenstromrechnung!$X$4-(Iteration!CH27+Massenstromrechnung!$X$3)/2)^Konstanten!$C$18*CJ27^Konstanten!$D$18*((Massenstromrechnung!$X$3+Iteration!CH27)/2)^Konstanten!$E$18+(Iteration!CH27-Massenstromrechnung!$X$3)^Konstanten!$F$18)&lt;1,CJ27,CJ27*Konstanten!$A$18*(Massenstromrechnung!$Y$6^Konstanten!$B$18*(Massenstromrechnung!$X$4-(Iteration!CH27+Massenstromrechnung!$X$3)/2)^Konstanten!$C$18*CJ27^Konstanten!$D$18*((Massenstromrechnung!$X$3+Iteration!CH27)/2)^Konstanten!$E$18+(Iteration!CH27-Massenstromrechnung!$X$3)^Konstanten!$F$18)))</f>
        <v>5841.8065407762824</v>
      </c>
      <c r="CL27" s="101">
        <f>CK27/(Massenstromrechnung!$AA37*Konstanten!$K$3/3.6)+Massenstromrechnung!$X$3</f>
        <v>12.053880090142503</v>
      </c>
      <c r="CM27" s="103" t="str">
        <f>IF(OR(Massenstromrechnung!$Y$6&lt;(CL27*50+Massenstromrechnung!$X$3)/51,(Massenstromrechnung!$Y$6-(CL27*51+Massenstromrechnung!$X$3)/51)&lt;0.7),"trocken","feucht")</f>
        <v>feucht</v>
      </c>
      <c r="CN27" s="104">
        <f>(Massenstromrechnung!$X$4-(Massenstromrechnung!$X$3+CL27)/2)^Konstanten!$E$7*$AK27*$AL27^Konstanten!$F$7*(CL27-Massenstromrechnung!$X$3)^Konstanten!$G$7*((Massenstromrechnung!$X$3+CL27)/2)^Konstanten!$H$7*(Konstanten!$C$7-(CL27-Massenstromrechnung!$X$3)^Konstanten!$I$7*Konstanten!$D$7)</f>
        <v>4441.9108037234937</v>
      </c>
      <c r="CO27" s="104">
        <f>IF(CM27="trocken",CN27,IF(Konstanten!$A$18*(Massenstromrechnung!$Y$6^Konstanten!$B$18*(Massenstromrechnung!$X$4-(Iteration!CL27+Massenstromrechnung!$X$3)/2)^Konstanten!$C$18*CN27^Konstanten!$D$18*((Massenstromrechnung!$X$3+Iteration!CL27)/2)^Konstanten!$E$18+(Iteration!CL27-Massenstromrechnung!$X$3)^Konstanten!$F$18)&lt;1,CN27,CN27*Konstanten!$A$18*(Massenstromrechnung!$Y$6^Konstanten!$B$18*(Massenstromrechnung!$X$4-(Iteration!CL27+Massenstromrechnung!$X$3)/2)^Konstanten!$C$18*CN27^Konstanten!$D$18*((Massenstromrechnung!$X$3+Iteration!CL27)/2)^Konstanten!$E$18+(Iteration!CL27-Massenstromrechnung!$X$3)^Konstanten!$F$18)))</f>
        <v>5753.4462676266749</v>
      </c>
      <c r="CP27" s="101">
        <f>IF(CO27/(Massenstromrechnung!$AA37*Konstanten!$K$3/3.6)+Massenstromrechnung!$X$3-Massenstromrechnung!$X$3&lt;1.4,"RLT zu niedrig",CO27/(Massenstromrechnung!$AA37*Konstanten!$K$3/3.6)+Massenstromrechnung!$X$3)</f>
        <v>11.977437602341288</v>
      </c>
      <c r="CQ27" s="103" t="str">
        <f>IF(CP27="RLT zu niedrig","RLT zu niedrig",IF(OR(Massenstromrechnung!$Y$6&lt;(CP27*50+Massenstromrechnung!$X$3)/51,(Massenstromrechnung!$Y$6-(CP27*51+Massenstromrechnung!$X$3)/51)&lt;0.7),"trocken","feucht"))</f>
        <v>feucht</v>
      </c>
      <c r="CR27" s="104">
        <f>IF(CP27="RLT zu niedrig","RLT zu niedrig",(Massenstromrechnung!$X$4-(Massenstromrechnung!$X$3+CP27)/2)^Konstanten!$E$7*$AK27*$AL27^Konstanten!$F$7*(CP27-Massenstromrechnung!$X$3)^Konstanten!$G$7*((Massenstromrechnung!$X$3+CP27)/2)^Konstanten!$H$7*(Konstanten!$C$7-(CP27-Massenstromrechnung!$X$3)^Konstanten!$I$7*Konstanten!$D$7))</f>
        <v>4462.4598591020103</v>
      </c>
      <c r="CS27" s="104">
        <f>IF(CP27="RLT zu niedrig","RLT zu niedrig",IF(CQ27="trocken",CR27,IF(Konstanten!$A$18*(Massenstromrechnung!$Y$6^Konstanten!$B$18*(Massenstromrechnung!$X$4-(Iteration!CP27+Massenstromrechnung!$X$3)/2)^Konstanten!$C$18*CR27^Konstanten!$D$18*((Massenstromrechnung!$X$3+Iteration!CP27)/2)^Konstanten!$E$18+(Iteration!CP27-Massenstromrechnung!$X$3)^Konstanten!$F$18)&lt;1,CR27,CR27*Konstanten!$A$18*(Massenstromrechnung!$Y$6^Konstanten!$B$18*(Massenstromrechnung!$X$4-(Iteration!CP27+Massenstromrechnung!$X$3)/2)^Konstanten!$C$18*CR27^Konstanten!$D$18*((Massenstromrechnung!$X$3+Iteration!CP27)/2)^Konstanten!$E$18+(Iteration!CP27-Massenstromrechnung!$X$3)^Konstanten!$F$18))))</f>
        <v>5790.5259587883957</v>
      </c>
    </row>
    <row r="28" spans="1:97" x14ac:dyDescent="0.3">
      <c r="A28">
        <f>Massenstromrechnung!B38</f>
        <v>2520</v>
      </c>
      <c r="B28" s="27">
        <v>985</v>
      </c>
      <c r="C28" s="103">
        <f>IF(Massenstromrechnung!$K$3-10&lt;=Massenstromrechnung!$K$4,Massenstromrechnung!$K$3-0.75*(Massenstromrechnung!$K$3-Massenstromrechnung!$K$4),Massenstromrechnung!$K$3-10)</f>
        <v>65</v>
      </c>
      <c r="D28" s="103">
        <f>-1*((Massenstromrechnung!$K$3+C28)/2-Massenstromrechnung!$K$4)^Konstanten!$E$4*Massenstromrechnung!$B38*Massenstromrechnung!$C38^Konstanten!$F$4*(Massenstromrechnung!$K$3-C28)^Konstanten!$G$4*((Massenstromrechnung!$K$3+C28)/2)^Konstanten!$H$4*(Konstanten!$C$4-((Massenstromrechnung!$K$3-C28)^Konstanten!$I$4*Konstanten!$D$4))/(Massenstromrechnung!$F38*Konstanten!$K$3/3.6)+Massenstromrechnung!$K$3</f>
        <v>65</v>
      </c>
      <c r="E28" s="103">
        <f t="shared" si="6"/>
        <v>65</v>
      </c>
      <c r="F28" s="103">
        <f>-1*((Massenstromrechnung!$K$3+E28)/2-Massenstromrechnung!$K$4)^Konstanten!$E$4*Massenstromrechnung!$B38*Massenstromrechnung!$C38^Konstanten!$F$4*(Massenstromrechnung!$K$3-E28)^Konstanten!$G$4*((Massenstromrechnung!$K$3+E28)/2)^Konstanten!$H$4*(Konstanten!$C$4-((Massenstromrechnung!$K$3-E28)^Konstanten!$I$4*Konstanten!$D$4))/(Massenstromrechnung!$F38*Konstanten!$K$3/3.6)+Massenstromrechnung!$K$3</f>
        <v>65</v>
      </c>
      <c r="G28" s="103">
        <f t="shared" si="0"/>
        <v>65</v>
      </c>
      <c r="H28" s="103">
        <f>-1*((Massenstromrechnung!$K$3+G28)/2-Massenstromrechnung!$K$4)^Konstanten!$E$4*Massenstromrechnung!$B38*Massenstromrechnung!$C38^Konstanten!$F$4*(Massenstromrechnung!$K$3-G28)^Konstanten!$G$4*((Massenstromrechnung!$K$3+G28)/2)^Konstanten!$H$4*(Konstanten!$C$4-((Massenstromrechnung!$K$3-G28)^Konstanten!$I$4*Konstanten!$D$4))/(Massenstromrechnung!$F38*Konstanten!$K$3/3.6)+Massenstromrechnung!$K$3</f>
        <v>65</v>
      </c>
      <c r="I28" s="103">
        <f t="shared" si="1"/>
        <v>65</v>
      </c>
      <c r="J28" s="103">
        <f>-1*((Massenstromrechnung!$K$3+I28)/2-Massenstromrechnung!$K$4)^Konstanten!$E$4*Massenstromrechnung!$B38*Massenstromrechnung!$C38^Konstanten!$F$4*(Massenstromrechnung!$K$3-I28)^Konstanten!$G$4*((Massenstromrechnung!$K$3+I28)/2)^Konstanten!$H$4*(Konstanten!$C$4-((Massenstromrechnung!$K$3-I28)^Konstanten!$I$4*Konstanten!$D$4))/(Massenstromrechnung!$F38*Konstanten!$K$3/3.6)+Massenstromrechnung!$K$3</f>
        <v>65</v>
      </c>
      <c r="K28" s="103">
        <f t="shared" si="2"/>
        <v>65</v>
      </c>
      <c r="L28" s="103">
        <f>-1*((Massenstromrechnung!$K$3+K28)/2-Massenstromrechnung!$K$4)^Konstanten!$E$4*Massenstromrechnung!$B38*Massenstromrechnung!$C38^Konstanten!$F$4*(Massenstromrechnung!$K$3-K28)^Konstanten!$G$4*((Massenstromrechnung!$K$3+K28)/2)^Konstanten!$H$4*(Konstanten!$C$4-((Massenstromrechnung!$K$3-K28)^Konstanten!$I$4*Konstanten!$D$4))/(Massenstromrechnung!$F38*Konstanten!$K$3/3.6)+Massenstromrechnung!$K$3</f>
        <v>65</v>
      </c>
      <c r="N28">
        <f>'Katalogdaten M3G045'!B42</f>
        <v>2520</v>
      </c>
      <c r="O28" s="27">
        <v>985</v>
      </c>
      <c r="P28" s="103">
        <f>IF(Massenstromrechnung!$K$3-10&lt;=Massenstromrechnung!$K$4,Massenstromrechnung!$K$3-0.75*(Massenstromrechnung!$K$3-Massenstromrechnung!$K$4),Massenstromrechnung!$K$3-10)</f>
        <v>65</v>
      </c>
      <c r="Q28" s="103" t="e">
        <f>-1*((Massenstromrechnung!$K$3+P28)/2-Massenstromrechnung!$K$4)^Konstanten!$E$4*Massenstromrechnung!$B38*Massenstromrechnung!$C38^Konstanten!$F$4*(Massenstromrechnung!$K$3-P28)^Konstanten!$G$4*((Massenstromrechnung!$K$3+P28)/2)^Konstanten!$H$4*(Konstanten!$C$4-((Massenstromrechnung!$K$3-P28)^Konstanten!$I$4*Konstanten!$D$4))/(Massenstromrechnung!#REF!*Konstanten!$K$3/3.6)+Massenstromrechnung!$K$3</f>
        <v>#REF!</v>
      </c>
      <c r="R28" s="103" t="e">
        <f t="shared" si="7"/>
        <v>#REF!</v>
      </c>
      <c r="S28" s="103" t="e">
        <f>-1*((Massenstromrechnung!$K$3+R28)/2-Massenstromrechnung!$K$4)^Konstanten!$E$4*Massenstromrechnung!$B38*Massenstromrechnung!$C38^Konstanten!$F$4*(Massenstromrechnung!$K$3-R28)^Konstanten!$G$4*((Massenstromrechnung!$K$3+R28)/2)^Konstanten!$H$4*(Konstanten!$C$4-((Massenstromrechnung!$K$3-R28)^Konstanten!$I$4*Konstanten!$D$4))/(Massenstromrechnung!#REF!*Konstanten!$K$3/3.6)+Massenstromrechnung!$K$3</f>
        <v>#REF!</v>
      </c>
      <c r="T28" s="103" t="e">
        <f t="shared" si="3"/>
        <v>#REF!</v>
      </c>
      <c r="U28" s="103" t="e">
        <f>-1*((Massenstromrechnung!$K$3+T28)/2-Massenstromrechnung!$K$4)^Konstanten!$E$4*Massenstromrechnung!$B38*Massenstromrechnung!$C38^Konstanten!$F$4*(Massenstromrechnung!$K$3-T28)^Konstanten!$G$4*((Massenstromrechnung!$K$3+T28)/2)^Konstanten!$H$4*(Konstanten!$C$4-((Massenstromrechnung!$K$3-T28)^Konstanten!$I$4*Konstanten!$D$4))/(Massenstromrechnung!#REF!*Konstanten!$K$3/3.6)+Massenstromrechnung!$K$3</f>
        <v>#REF!</v>
      </c>
      <c r="V28" s="103" t="e">
        <f t="shared" si="4"/>
        <v>#REF!</v>
      </c>
      <c r="W28" s="103" t="e">
        <f>-1*((Massenstromrechnung!$K$3+V28)/2-Massenstromrechnung!$K$4)^Konstanten!$E$4*Massenstromrechnung!$B38*Massenstromrechnung!$C38^Konstanten!$F$4*(Massenstromrechnung!$K$3-V28)^Konstanten!$G$4*((Massenstromrechnung!$K$3+V28)/2)^Konstanten!$H$4*(Konstanten!$C$4-((Massenstromrechnung!$K$3-V28)^Konstanten!$I$4*Konstanten!$D$4))/(Massenstromrechnung!#REF!*Konstanten!$K$3/3.6)+Massenstromrechnung!$K$3</f>
        <v>#REF!</v>
      </c>
      <c r="X28" s="103" t="e">
        <f t="shared" si="5"/>
        <v>#REF!</v>
      </c>
      <c r="Y28" s="103" t="e">
        <f>-1*((Massenstromrechnung!$K$3+X28)/2-Massenstromrechnung!$K$4)^Konstanten!$E$4*Massenstromrechnung!$B38*Massenstromrechnung!$C38^Konstanten!$F$4*(Massenstromrechnung!$K$3-X28)^Konstanten!$G$4*((Massenstromrechnung!$K$3+X28)/2)^Konstanten!$H$4*(Konstanten!$C$4-((Massenstromrechnung!$K$3-X28)^Konstanten!$I$4*Konstanten!$D$4))/(Massenstromrechnung!#REF!*Konstanten!$K$3/3.6)+Massenstromrechnung!$K$3</f>
        <v>#REF!</v>
      </c>
      <c r="AA28">
        <f t="shared" si="8"/>
        <v>2520</v>
      </c>
      <c r="AB28">
        <f t="shared" si="8"/>
        <v>985</v>
      </c>
      <c r="AC28" s="103">
        <f>IF(Massenstromrechnung!$K$3-10&lt;=Massenstromrechnung!$K$4,Massenstromrechnung!$K$3-0.75*(Massenstromrechnung!$K$3-Massenstromrechnung!$K$4),Massenstromrechnung!$K$3-10)</f>
        <v>65</v>
      </c>
      <c r="AD28" s="103">
        <f>-1*((Massenstromrechnung!$K$3+AC28)/2-Massenstromrechnung!$K$4)^Konstanten!$E$5*$AA28*$AB28^Konstanten!$F$5*(Massenstromrechnung!$K$3-AC28)^Konstanten!$G$5*((Massenstromrechnung!$K$3+AC28)/2)^Konstanten!$H$5*(Konstanten!$C$5-((Massenstromrechnung!$K$3-AC28)^Konstanten!$I$5*Konstanten!$D$5))/(Massenstromrechnung!$L38*Konstanten!$K$3/3.6)+Massenstromrechnung!$K$3</f>
        <v>65</v>
      </c>
      <c r="AE28" s="103">
        <f>-1*((Massenstromrechnung!$K$3+AD28)/2-Massenstromrechnung!$K$4)^Konstanten!$E$5*$AA28*$AB28^Konstanten!$F$5*(Massenstromrechnung!$K$3-AD28)^Konstanten!$G$5*((Massenstromrechnung!$K$3+AD28)/2)^Konstanten!$H$5*(Konstanten!$C$5-((Massenstromrechnung!$K$3-AD28)^Konstanten!$I$5*Konstanten!$D$5))/(Massenstromrechnung!$L38*Konstanten!$K$3/3.6)+Massenstromrechnung!$K$3</f>
        <v>65</v>
      </c>
      <c r="AF28" s="103">
        <f>-1*((Massenstromrechnung!$K$3+AE28)/2-Massenstromrechnung!$K$4)^Konstanten!$E$5*$AA28*$AB28^Konstanten!$F$5*(Massenstromrechnung!$K$3-AE28)^Konstanten!$G$5*((Massenstromrechnung!$K$3+AE28)/2)^Konstanten!$H$5*(Konstanten!$C$5-((Massenstromrechnung!$K$3-AE28)^Konstanten!$I$5*Konstanten!$D$5))/(Massenstromrechnung!$L38*Konstanten!$K$3/3.6)+Massenstromrechnung!$K$3</f>
        <v>65</v>
      </c>
      <c r="AG28" s="103">
        <f>-1*((Massenstromrechnung!$K$3+AF28)/2-Massenstromrechnung!$K$4)^Konstanten!$E$5*$AA28*$AB28^Konstanten!$F$5*(Massenstromrechnung!$K$3-AF28)^Konstanten!$G$5*((Massenstromrechnung!$K$3+AF28)/2)^Konstanten!$H$5*(Konstanten!$C$5-((Massenstromrechnung!$K$3-AF28)^Konstanten!$I$5*Konstanten!$D$5))/(Massenstromrechnung!$L38*Konstanten!$K$3/3.6)+Massenstromrechnung!$K$3</f>
        <v>65</v>
      </c>
      <c r="AH28" s="103">
        <f>-1*((Massenstromrechnung!$K$3+AG28)/2-Massenstromrechnung!$K$4)^Konstanten!$E$5*$AA28*$AB28^Konstanten!$F$5*(Massenstromrechnung!$K$3-AG28)^Konstanten!$G$5*((Massenstromrechnung!$K$3+AG28)/2)^Konstanten!$H$5*(Konstanten!$C$5-((Massenstromrechnung!$K$3-AG28)^Konstanten!$I$5*Konstanten!$D$5))/(Massenstromrechnung!$L38*Konstanten!$K$3/3.6)+Massenstromrechnung!$K$3</f>
        <v>65</v>
      </c>
      <c r="AI28" s="103">
        <f>-1*((Massenstromrechnung!$K$3+AH28)/2-Massenstromrechnung!$K$4)^Konstanten!$E$5*$AA28*$AB28^Konstanten!$F$5*(Massenstromrechnung!$K$3-AH28)^Konstanten!$G$5*((Massenstromrechnung!$K$3+AH28)/2)^Konstanten!$H$5*(Konstanten!$C$5-((Massenstromrechnung!$K$3-AH28)^Konstanten!$I$5*Konstanten!$D$5))/(Massenstromrechnung!$L38*Konstanten!$K$3/3.6)+Massenstromrechnung!$K$3</f>
        <v>65</v>
      </c>
      <c r="AK28">
        <f t="shared" si="9"/>
        <v>2520</v>
      </c>
      <c r="AL28">
        <f t="shared" si="9"/>
        <v>985</v>
      </c>
      <c r="AM28" s="103">
        <f>Massenstromrechnung!$X$3+2</f>
        <v>9</v>
      </c>
      <c r="AN28" s="103" t="str">
        <f>IF(OR(Massenstromrechnung!$Y$6&lt;(AM28*50+Massenstromrechnung!$X$3)/51,(Massenstromrechnung!$Y$6-(AM28*51+Massenstromrechnung!$X$3)/51)&lt;0.7),"trocken","feucht")</f>
        <v>feucht</v>
      </c>
      <c r="AO28" s="104">
        <f>(Massenstromrechnung!$X$4-(Massenstromrechnung!$X$3+AM28)/2)^Konstanten!$E$6*$AK28*$AL28^Konstanten!$F$6*(AM28-Massenstromrechnung!$X$3)^Konstanten!$G$6*((Massenstromrechnung!$X$3+AM28)/2)^Konstanten!$H$6*(Konstanten!$C$6-(AM28-Massenstromrechnung!$X$3)^Konstanten!$I$6*Konstanten!$D$6)</f>
        <v>3864.2411639159359</v>
      </c>
      <c r="AP28" s="104">
        <f>IF(AN28="trocken",AO28,IF(Konstanten!$A$18*(Massenstromrechnung!$Y$6^Konstanten!$B$18*(Massenstromrechnung!$X$4-(Iteration!AM28+Massenstromrechnung!$X$3)/2)^Konstanten!$C$18*AO28^Konstanten!$D$18*((Massenstromrechnung!$X$3+Iteration!AM28)/2)^Konstanten!$E$18+(Iteration!AM28-Massenstromrechnung!$X$3)^Konstanten!$F$18)&lt;1,AO28,AO28*Konstanten!$A$18*(Massenstromrechnung!$Y$6^Konstanten!$B$18*(Massenstromrechnung!$X$4-(Iteration!AM28+Massenstromrechnung!$X$3)/2)^Konstanten!$C$18*AO28^Konstanten!$D$18*((Massenstromrechnung!$X$3+Iteration!AM28)/2)^Konstanten!$E$18+(Iteration!AM28-Massenstromrechnung!$X$3)^Konstanten!$F$18)))</f>
        <v>5563.2370024385036</v>
      </c>
      <c r="AQ28" s="101">
        <f>AP28/(Massenstromrechnung!$R38*Konstanten!$K$3/3.6)+Massenstromrechnung!$X$3</f>
        <v>13.223443310250904</v>
      </c>
      <c r="AR28" s="103" t="str">
        <f>IF(OR(Massenstromrechnung!$Y$6&lt;(AQ28*50+Massenstromrechnung!$X$3)/51,(Massenstromrechnung!$Y$6-(AQ28*51+Massenstromrechnung!$X$3)/51)&lt;0.7),"trocken","feucht")</f>
        <v>feucht</v>
      </c>
      <c r="AS28" s="104">
        <f>(Massenstromrechnung!$X$4-(Massenstromrechnung!$X$3+AQ28)/2)^Konstanten!$E$6*$AK28*$AL28^Konstanten!$F$6*(AQ28-Massenstromrechnung!$X$3)^Konstanten!$G$6*((Massenstromrechnung!$X$3+AQ28)/2)^Konstanten!$H$6*(Konstanten!$C$6-(AQ28-Massenstromrechnung!$X$3)^Konstanten!$I$6*Konstanten!$D$6)</f>
        <v>3227.6694127062124</v>
      </c>
      <c r="AT28" s="104">
        <f>IF(AR28="trocken",AS28,IF(Konstanten!$A$18*(Massenstromrechnung!$Y$6^Konstanten!$B$18*(Massenstromrechnung!$X$4-(Iteration!AQ28+Massenstromrechnung!$X$3)/2)^Konstanten!$C$18*AS28^Konstanten!$D$18*((Massenstromrechnung!$X$3+Iteration!AQ28)/2)^Konstanten!$E$18+(Iteration!AQ28-Massenstromrechnung!$X$3)^Konstanten!$F$18)&lt;1,AS28,AS28*Konstanten!$A$18*(Massenstromrechnung!$Y$6^Konstanten!$B$18*(Massenstromrechnung!$X$4-(Iteration!AQ28+Massenstromrechnung!$X$3)/2)^Konstanten!$C$18*AS28^Konstanten!$D$18*((Massenstromrechnung!$X$3+Iteration!AQ28)/2)^Konstanten!$E$18+(Iteration!AQ28-Massenstromrechnung!$X$3)^Konstanten!$F$18)))</f>
        <v>4105.721349203809</v>
      </c>
      <c r="AU28" s="101">
        <f>AT28/(Massenstromrechnung!$R38*Konstanten!$K$3/3.6)+Massenstromrechnung!$X$3</f>
        <v>11.592959827750787</v>
      </c>
      <c r="AV28" s="103" t="str">
        <f>IF(OR(Massenstromrechnung!$Y$6&lt;(AU28*50+Massenstromrechnung!$X$3)/51,(Massenstromrechnung!$Y$6-(AU28*51+Massenstromrechnung!$X$3)/51)&lt;0.7),"trocken","feucht")</f>
        <v>feucht</v>
      </c>
      <c r="AW28" s="104">
        <f>(Massenstromrechnung!$X$4-(Massenstromrechnung!$X$3+AU28)/2)^Konstanten!$E$6*$AK28*$AL28^Konstanten!$F$6*(AU28-Massenstromrechnung!$X$3)^Konstanten!$G$6*((Massenstromrechnung!$X$3+AU28)/2)^Konstanten!$H$6*(Konstanten!$C$6-(AU28-Massenstromrechnung!$X$3)^Konstanten!$I$6*Konstanten!$D$6)</f>
        <v>3485.8220188706869</v>
      </c>
      <c r="AX28" s="104">
        <f>IF(AV28="trocken",AW28,IF(Konstanten!$A$18*(Massenstromrechnung!$Y$6^Konstanten!$B$18*(Massenstromrechnung!$X$4-(Iteration!AU28+Massenstromrechnung!$X$3)/2)^Konstanten!$C$18*AW28^Konstanten!$D$18*((Massenstromrechnung!$X$3+Iteration!AU28)/2)^Konstanten!$E$18+(Iteration!AU28-Massenstromrechnung!$X$3)^Konstanten!$F$18)&lt;1,AW28,AW28*Konstanten!$A$18*(Massenstromrechnung!$Y$6^Konstanten!$B$18*(Massenstromrechnung!$X$4-(Iteration!AU28+Massenstromrechnung!$X$3)/2)^Konstanten!$C$18*AW28^Konstanten!$D$18*((Massenstromrechnung!$X$3+Iteration!AU28)/2)^Konstanten!$E$18+(Iteration!AU28-Massenstromrechnung!$X$3)^Konstanten!$F$18)))</f>
        <v>4602.6964054432965</v>
      </c>
      <c r="AY28" s="101">
        <f>AX28/(Massenstromrechnung!$R38*Konstanten!$K$3/3.6)+Massenstromrechnung!$X$3</f>
        <v>12.148912430122305</v>
      </c>
      <c r="AZ28" s="103" t="str">
        <f>IF(OR(Massenstromrechnung!$Y$6&lt;(AY28*50+Massenstromrechnung!$X$3)/51,(Massenstromrechnung!$Y$6-(AY28*51+Massenstromrechnung!$X$3)/51)&lt;0.7),"trocken","feucht")</f>
        <v>feucht</v>
      </c>
      <c r="BA28" s="104">
        <f>(Massenstromrechnung!$X$4-(Massenstromrechnung!$X$3+AY28)/2)^Konstanten!$E$6*$AK28*$AL28^Konstanten!$F$6*(AY28-Massenstromrechnung!$X$3)^Konstanten!$G$6*((Massenstromrechnung!$X$3+AY28)/2)^Konstanten!$H$6*(Konstanten!$C$6-(AY28-Massenstromrechnung!$X$3)^Konstanten!$I$6*Konstanten!$D$6)</f>
        <v>3395.2661254270861</v>
      </c>
      <c r="BB28" s="104">
        <f>IF(AZ28="trocken",BA28,IF(Konstanten!$A$18*(Massenstromrechnung!$Y$6^Konstanten!$B$18*(Massenstromrechnung!$X$4-(Iteration!AY28+Massenstromrechnung!$X$3)/2)^Konstanten!$C$18*BA28^Konstanten!$D$18*((Massenstromrechnung!$X$3+Iteration!AY28)/2)^Konstanten!$E$18+(Iteration!AY28-Massenstromrechnung!$X$3)^Konstanten!$F$18)&lt;1,BA28,BA28*Konstanten!$A$18*(Massenstromrechnung!$Y$6^Konstanten!$B$18*(Massenstromrechnung!$X$4-(Iteration!AY28+Massenstromrechnung!$X$3)/2)^Konstanten!$C$18*BA28^Konstanten!$D$18*((Massenstromrechnung!$X$3+Iteration!AY28)/2)^Konstanten!$E$18+(Iteration!AY28-Massenstromrechnung!$X$3)^Konstanten!$F$18)))</f>
        <v>4422.4625550387836</v>
      </c>
      <c r="BC28" s="101">
        <f>BB28/(Massenstromrechnung!$R38*Konstanten!$K$3/3.6)+Massenstromrechnung!$X$3</f>
        <v>11.947289678819589</v>
      </c>
      <c r="BD28" s="103" t="str">
        <f>IF(OR(Massenstromrechnung!$Y$6&lt;(BC28*50+Massenstromrechnung!$X$3)/51,(Massenstromrechnung!$Y$6-(BC28*51+Massenstromrechnung!$X$3)/51)&lt;0.7),"trocken","feucht")</f>
        <v>feucht</v>
      </c>
      <c r="BE28" s="104">
        <f>(Massenstromrechnung!$X$4-(Massenstromrechnung!$X$3+BC28)/2)^Konstanten!$E$6*$AK28*$AL28^Konstanten!$F$6*(BC28-Massenstromrechnung!$X$3)^Konstanten!$G$6*((Massenstromrechnung!$X$3+BC28)/2)^Konstanten!$H$6*(Konstanten!$C$6-(BC28-Massenstromrechnung!$X$3)^Konstanten!$I$6*Konstanten!$D$6)</f>
        <v>3427.8369419322726</v>
      </c>
      <c r="BF28" s="104">
        <f>IF(BD28="trocken",BE28,IF(Konstanten!$A$18*(Massenstromrechnung!$Y$6^Konstanten!$B$18*(Massenstromrechnung!$X$4-(Iteration!BC28+Massenstromrechnung!$X$3)/2)^Konstanten!$C$18*BE28^Konstanten!$D$18*((Massenstromrechnung!$X$3+Iteration!BC28)/2)^Konstanten!$E$18+(Iteration!BC28-Massenstromrechnung!$X$3)^Konstanten!$F$18)&lt;1,BE28,BE28*Konstanten!$A$18*(Massenstromrechnung!$Y$6^Konstanten!$B$18*(Massenstromrechnung!$X$4-(Iteration!BC28+Massenstromrechnung!$X$3)/2)^Konstanten!$C$18*BE28^Konstanten!$D$18*((Massenstromrechnung!$X$3+Iteration!BC28)/2)^Konstanten!$E$18+(Iteration!BC28-Massenstromrechnung!$X$3)^Konstanten!$F$18)))</f>
        <v>4486.4597405267477</v>
      </c>
      <c r="BG28" s="101">
        <f>BF28/(Massenstromrechnung!$R38*Konstanten!$K$3/3.6)+Massenstromrechnung!$X$3</f>
        <v>12.018881605556734</v>
      </c>
      <c r="BH28" s="103" t="str">
        <f>IF(OR(Massenstromrechnung!$Y$6&lt;(BG28*50+Massenstromrechnung!$X$3)/51,(Massenstromrechnung!$Y$6-(BG28*51+Massenstromrechnung!$X$3)/51)&lt;0.7),"trocken","feucht")</f>
        <v>feucht</v>
      </c>
      <c r="BI28" s="104">
        <f>(Massenstromrechnung!$X$4-(Massenstromrechnung!$X$3+BG28)/2)^Konstanten!$E$6*$AK28*$AL28^Konstanten!$F$6*(BG28-Massenstromrechnung!$X$3)^Konstanten!$G$6*((Massenstromrechnung!$X$3+BG28)/2)^Konstanten!$H$6*(Konstanten!$C$6-(BG28-Massenstromrechnung!$X$3)^Konstanten!$I$6*Konstanten!$D$6)</f>
        <v>3416.2341872392999</v>
      </c>
      <c r="BJ28" s="104">
        <f>IF(BH28="trocken",BI28,IF(Konstanten!$A$18*(Massenstromrechnung!$Y$6^Konstanten!$B$18*(Massenstromrechnung!$X$4-(Iteration!BG28+Massenstromrechnung!$X$3)/2)^Konstanten!$C$18*BI28^Konstanten!$D$18*((Massenstromrechnung!$X$3+Iteration!BG28)/2)^Konstanten!$E$18+(Iteration!BG28-Massenstromrechnung!$X$3)^Konstanten!$F$18)&lt;1,BI28,BI28*Konstanten!$A$18*(Massenstromrechnung!$Y$6^Konstanten!$B$18*(Massenstromrechnung!$X$4-(Iteration!BG28+Massenstromrechnung!$X$3)/2)^Konstanten!$C$18*BI28^Konstanten!$D$18*((Massenstromrechnung!$X$3+Iteration!BG28)/2)^Konstanten!$E$18+(Iteration!BG28-Massenstromrechnung!$X$3)^Konstanten!$F$18)))</f>
        <v>4463.5606051673249</v>
      </c>
      <c r="BK28" s="101">
        <f>IF(BJ28/(Massenstromrechnung!$R38*Konstanten!$K$3/3.6)+Massenstromrechnung!$X$3-Massenstromrechnung!$X$3&lt;1.4,"RLT zu niedrig",BJ28/(Massenstromrechnung!$R38*Konstanten!$K$3/3.6)+Massenstromrechnung!$X$3)</f>
        <v>11.99326495994184</v>
      </c>
      <c r="BL28" s="103" t="str">
        <f>IF(BK28="RLT zu niedrig","RLT zu niedrig",IF(OR(Massenstromrechnung!$Y$6&lt;(BK28*50+Massenstromrechnung!$X$3)/51,(Massenstromrechnung!$Y$6-(BK28*51+Massenstromrechnung!$X$3)/51)&lt;0.7),"trocken","feucht"))</f>
        <v>feucht</v>
      </c>
      <c r="BM28" s="104">
        <f>IF(BK28="RLT zu niedrig","RLT zu niedrig",(Massenstromrechnung!$X$4-(Massenstromrechnung!$X$3+BK28)/2)^Konstanten!$E$6*$AK28*$AL28^Konstanten!$F$6*(BK28-Massenstromrechnung!$X$3)^Konstanten!$G$6*((Massenstromrechnung!$X$3+BK28)/2)^Konstanten!$H$6*(Konstanten!$C$6-(BK28-Massenstromrechnung!$X$3)^Konstanten!$I$6*Konstanten!$D$6))</f>
        <v>3420.3811614430801</v>
      </c>
      <c r="BN28" s="104">
        <f>IF(BK28="RLT zu niedrig","RLT zu niedrig",IF(BL28="trocken",BM28,IF(Konstanten!$A$18*(Massenstromrechnung!$Y$6^Konstanten!$B$18*(Massenstromrechnung!$X$4-(Iteration!BK28+Massenstromrechnung!$X$3)/2)^Konstanten!$C$18*BM28^Konstanten!$D$18*((Massenstromrechnung!$X$3+Iteration!BK28)/2)^Konstanten!$E$18+(Iteration!BK28-Massenstromrechnung!$X$3)^Konstanten!$F$18)&lt;1,BM28,BM28*Konstanten!$A$18*(Massenstromrechnung!$Y$6^Konstanten!$B$18*(Massenstromrechnung!$X$4-(Iteration!BK28+Massenstromrechnung!$X$3)/2)^Konstanten!$C$18*BM28^Konstanten!$D$18*((Massenstromrechnung!$X$3+Iteration!BK28)/2)^Konstanten!$E$18+(Iteration!BK28-Massenstromrechnung!$X$3)^Konstanten!$F$18))))</f>
        <v>4471.7319517724991</v>
      </c>
      <c r="BO28" s="101"/>
      <c r="BP28">
        <f t="shared" si="10"/>
        <v>2520</v>
      </c>
      <c r="BQ28">
        <f t="shared" si="10"/>
        <v>985</v>
      </c>
      <c r="BR28" s="103">
        <f>Massenstromrechnung!$X$3+2</f>
        <v>9</v>
      </c>
      <c r="BS28" s="103" t="str">
        <f>IF(OR(Massenstromrechnung!$Y$6&lt;(BR28*50+Massenstromrechnung!$X$3)/51,(Massenstromrechnung!$Y$6-(BR28*51+Massenstromrechnung!$X$3)/51)&lt;0.7),"trocken","feucht")</f>
        <v>feucht</v>
      </c>
      <c r="BT28" s="104">
        <f>(Massenstromrechnung!$X$4-(Massenstromrechnung!$X$3+BR28)/2)^Konstanten!$E$7*$AK28*$AL28^Konstanten!$F$7*(BR28-Massenstromrechnung!$X$3)^Konstanten!$G$7*((Massenstromrechnung!$X$3+BR28)/2)^Konstanten!$H$7*(Konstanten!$C$7-(BR28-Massenstromrechnung!$X$3)^Konstanten!$I$7*Konstanten!$D$7)</f>
        <v>4192.2737233474145</v>
      </c>
      <c r="BU28" s="104">
        <f>IF(BS28="trocken",BT28,IF(Konstanten!$A$18*(Massenstromrechnung!$Y$6^Konstanten!$B$18*(Massenstromrechnung!$X$4-(Iteration!BR28+Massenstromrechnung!$X$3)/2)^Konstanten!$C$18*BT28^Konstanten!$D$18*((Massenstromrechnung!$X$3+Iteration!BR28)/2)^Konstanten!$E$18+(Iteration!BR28-Massenstromrechnung!$X$3)^Konstanten!$F$18)&lt;1,BT28,BT28*Konstanten!$A$18*(Massenstromrechnung!$Y$6^Konstanten!$B$18*(Massenstromrechnung!$X$4-(Iteration!BR28+Massenstromrechnung!$X$3)/2)^Konstanten!$C$18*BT28^Konstanten!$D$18*((Massenstromrechnung!$X$3+Iteration!BR28)/2)^Konstanten!$E$18+(Iteration!BR28-Massenstromrechnung!$X$3)^Konstanten!$F$18)))</f>
        <v>6021.3159967808588</v>
      </c>
      <c r="BV28" s="101">
        <f>BU28/(Massenstromrechnung!$AA38*Konstanten!$K$3/3.6)+Massenstromrechnung!$X$3</f>
        <v>13.901931489898971</v>
      </c>
      <c r="BW28" s="103" t="str">
        <f>IF(OR(Massenstromrechnung!$Y$6&lt;(BV28*50+Massenstromrechnung!$X$3)/51,(Massenstromrechnung!$Y$6-(BV28*51+Massenstromrechnung!$X$3)/51)&lt;0.7),"trocken","feucht")</f>
        <v>feucht</v>
      </c>
      <c r="BX28" s="104">
        <f>(Massenstromrechnung!$X$4-(Massenstromrechnung!$X$3+BV28)/2)^Konstanten!$E$7*$AK28*$AL28^Konstanten!$F$7*(BV28-Massenstromrechnung!$X$3)^Konstanten!$G$7*((Massenstromrechnung!$X$3+BV28)/2)^Konstanten!$H$7*(Konstanten!$C$7-(BV28-Massenstromrechnung!$X$3)^Konstanten!$I$7*Konstanten!$D$7)</f>
        <v>2995.6563214909747</v>
      </c>
      <c r="BY28" s="104">
        <f>IF(BW28="trocken",BX28,IF(Konstanten!$A$18*(Massenstromrechnung!$Y$6^Konstanten!$B$18*(Massenstromrechnung!$X$4-(Iteration!BV28+Massenstromrechnung!$X$3)/2)^Konstanten!$C$18*BX28^Konstanten!$D$18*((Massenstromrechnung!$X$3+Iteration!BV28)/2)^Konstanten!$E$18+(Iteration!BV28-Massenstromrechnung!$X$3)^Konstanten!$F$18)&lt;1,BX28,BX28*Konstanten!$A$18*(Massenstromrechnung!$Y$6^Konstanten!$B$18*(Massenstromrechnung!$X$4-(Iteration!BV28+Massenstromrechnung!$X$3)/2)^Konstanten!$C$18*BX28^Konstanten!$D$18*((Massenstromrechnung!$X$3+Iteration!BV28)/2)^Konstanten!$E$18+(Iteration!BV28-Massenstromrechnung!$X$3)^Konstanten!$F$18)))</f>
        <v>3764.4307309939368</v>
      </c>
      <c r="BZ28" s="101">
        <f>BY28/(Massenstromrechnung!$AA38*Konstanten!$K$3/3.6)+Massenstromrechnung!$X$3</f>
        <v>11.314977492907026</v>
      </c>
      <c r="CA28" s="103" t="str">
        <f>IF(OR(Massenstromrechnung!$Y$6&lt;(BZ28*50+Massenstromrechnung!$X$3)/51,(Massenstromrechnung!$Y$6-(BZ28*51+Massenstromrechnung!$X$3)/51)&lt;0.7),"trocken","feucht")</f>
        <v>feucht</v>
      </c>
      <c r="CB28" s="104">
        <f>(Massenstromrechnung!$X$4-(Massenstromrechnung!$X$3+BZ28)/2)^Konstanten!$E$7*$AK28*$AL28^Konstanten!$F$7*(BZ28-Massenstromrechnung!$X$3)^Konstanten!$G$7*((Massenstromrechnung!$X$3+BZ28)/2)^Konstanten!$H$7*(Konstanten!$C$7-(BZ28-Massenstromrechnung!$X$3)^Konstanten!$I$7*Konstanten!$D$7)</f>
        <v>3480.7020858312453</v>
      </c>
      <c r="CC28" s="104">
        <f>IF(CA28="trocken",CB28,IF(Konstanten!$A$18*(Massenstromrechnung!$Y$6^Konstanten!$B$18*(Massenstromrechnung!$X$4-(Iteration!BZ28+Massenstromrechnung!$X$3)/2)^Konstanten!$C$18*CB28^Konstanten!$D$18*((Massenstromrechnung!$X$3+Iteration!BZ28)/2)^Konstanten!$E$18+(Iteration!BZ28-Massenstromrechnung!$X$3)^Konstanten!$F$18)&lt;1,CB28,CB28*Konstanten!$A$18*(Massenstromrechnung!$Y$6^Konstanten!$B$18*(Massenstromrechnung!$X$4-(Iteration!BZ28+Massenstromrechnung!$X$3)/2)^Konstanten!$C$18*CB28^Konstanten!$D$18*((Massenstromrechnung!$X$3+Iteration!BZ28)/2)^Konstanten!$E$18+(Iteration!BZ28-Massenstromrechnung!$X$3)^Konstanten!$F$18)))</f>
        <v>4631.3030387043118</v>
      </c>
      <c r="CD28" s="101">
        <f>CC28/(Massenstromrechnung!$AA38*Konstanten!$K$3/3.6)+Massenstromrechnung!$X$3</f>
        <v>12.308629591801411</v>
      </c>
      <c r="CE28" s="103" t="str">
        <f>IF(OR(Massenstromrechnung!$Y$6&lt;(CD28*50+Massenstromrechnung!$X$3)/51,(Massenstromrechnung!$Y$6-(CD28*51+Massenstromrechnung!$X$3)/51)&lt;0.7),"trocken","feucht")</f>
        <v>feucht</v>
      </c>
      <c r="CF28" s="104">
        <f>(Massenstromrechnung!$X$4-(Massenstromrechnung!$X$3+CD28)/2)^Konstanten!$E$7*$AK28*$AL28^Konstanten!$F$7*(CD28-Massenstromrechnung!$X$3)^Konstanten!$G$7*((Massenstromrechnung!$X$3+CD28)/2)^Konstanten!$H$7*(Konstanten!$C$7-(CD28-Massenstromrechnung!$X$3)^Konstanten!$I$7*Konstanten!$D$7)</f>
        <v>3273.7268715610139</v>
      </c>
      <c r="CG28" s="104">
        <f>IF(CE28="trocken",CF28,IF(Konstanten!$A$18*(Massenstromrechnung!$Y$6^Konstanten!$B$18*(Massenstromrechnung!$X$4-(Iteration!CD28+Massenstromrechnung!$X$3)/2)^Konstanten!$C$18*CF28^Konstanten!$D$18*((Massenstromrechnung!$X$3+Iteration!CD28)/2)^Konstanten!$E$18+(Iteration!CD28-Massenstromrechnung!$X$3)^Konstanten!$F$18)&lt;1,CF28,CF28*Konstanten!$A$18*(Massenstromrechnung!$Y$6^Konstanten!$B$18*(Massenstromrechnung!$X$4-(Iteration!CD28+Massenstromrechnung!$X$3)/2)^Konstanten!$C$18*CF28^Konstanten!$D$18*((Massenstromrechnung!$X$3+Iteration!CD28)/2)^Konstanten!$E$18+(Iteration!CD28-Massenstromrechnung!$X$3)^Konstanten!$F$18)))</f>
        <v>4251.9449602744635</v>
      </c>
      <c r="CH28" s="101">
        <f>CG28/(Massenstromrechnung!$AA38*Konstanten!$K$3/3.6)+Massenstromrechnung!$X$3</f>
        <v>11.873790518605063</v>
      </c>
      <c r="CI28" s="103" t="str">
        <f>IF(OR(Massenstromrechnung!$Y$6&lt;(CH28*50+Massenstromrechnung!$X$3)/51,(Massenstromrechnung!$Y$6-(CH28*51+Massenstromrechnung!$X$3)/51)&lt;0.7),"trocken","feucht")</f>
        <v>feucht</v>
      </c>
      <c r="CJ28" s="104">
        <f>(Massenstromrechnung!$X$4-(Massenstromrechnung!$X$3+CH28)/2)^Konstanten!$E$7*$AK28*$AL28^Konstanten!$F$7*(CH28-Massenstromrechnung!$X$3)^Konstanten!$G$7*((Massenstromrechnung!$X$3+CH28)/2)^Konstanten!$H$7*(Konstanten!$C$7-(CH28-Massenstromrechnung!$X$3)^Konstanten!$I$7*Konstanten!$D$7)</f>
        <v>3360.2377915785578</v>
      </c>
      <c r="CK28" s="104">
        <f>IF(CI28="trocken",CJ28,IF(Konstanten!$A$18*(Massenstromrechnung!$Y$6^Konstanten!$B$18*(Massenstromrechnung!$X$4-(Iteration!CH28+Massenstromrechnung!$X$3)/2)^Konstanten!$C$18*CJ28^Konstanten!$D$18*((Massenstromrechnung!$X$3+Iteration!CH28)/2)^Konstanten!$E$18+(Iteration!CH28-Massenstromrechnung!$X$3)^Konstanten!$F$18)&lt;1,CJ28,CJ28*Konstanten!$A$18*(Massenstromrechnung!$Y$6^Konstanten!$B$18*(Massenstromrechnung!$X$4-(Iteration!CH28+Massenstromrechnung!$X$3)/2)^Konstanten!$C$18*CJ28^Konstanten!$D$18*((Massenstromrechnung!$X$3+Iteration!CH28)/2)^Konstanten!$E$18+(Iteration!CH28-Massenstromrechnung!$X$3)^Konstanten!$F$18)))</f>
        <v>4408.9287185421972</v>
      </c>
      <c r="CL28" s="101">
        <f>CK28/(Massenstromrechnung!$AA38*Konstanten!$K$3/3.6)+Massenstromrechnung!$X$3</f>
        <v>12.05373310012213</v>
      </c>
      <c r="CM28" s="103" t="str">
        <f>IF(OR(Massenstromrechnung!$Y$6&lt;(CL28*50+Massenstromrechnung!$X$3)/51,(Massenstromrechnung!$Y$6-(CL28*51+Massenstromrechnung!$X$3)/51)&lt;0.7),"trocken","feucht")</f>
        <v>feucht</v>
      </c>
      <c r="CN28" s="104">
        <f>(Massenstromrechnung!$X$4-(Massenstromrechnung!$X$3+CL28)/2)^Konstanten!$E$7*$AK28*$AL28^Konstanten!$F$7*(CL28-Massenstromrechnung!$X$3)^Konstanten!$G$7*((Massenstromrechnung!$X$3+CL28)/2)^Konstanten!$H$7*(Konstanten!$C$7-(CL28-Massenstromrechnung!$X$3)^Konstanten!$I$7*Konstanten!$D$7)</f>
        <v>3323.7497893308932</v>
      </c>
      <c r="CO28" s="104">
        <f>IF(CM28="trocken",CN28,IF(Konstanten!$A$18*(Massenstromrechnung!$Y$6^Konstanten!$B$18*(Massenstromrechnung!$X$4-(Iteration!CL28+Massenstromrechnung!$X$3)/2)^Konstanten!$C$18*CN28^Konstanten!$D$18*((Massenstromrechnung!$X$3+Iteration!CL28)/2)^Konstanten!$E$18+(Iteration!CL28-Massenstromrechnung!$X$3)^Konstanten!$F$18)&lt;1,CN28,CN28*Konstanten!$A$18*(Massenstromrechnung!$Y$6^Konstanten!$B$18*(Massenstromrechnung!$X$4-(Iteration!CL28+Massenstromrechnung!$X$3)/2)^Konstanten!$C$18*CN28^Konstanten!$D$18*((Massenstromrechnung!$X$3+Iteration!CL28)/2)^Konstanten!$E$18+(Iteration!CL28-Massenstromrechnung!$X$3)^Konstanten!$F$18)))</f>
        <v>4342.4306350311854</v>
      </c>
      <c r="CP28" s="101">
        <f>IF(CO28/(Massenstromrechnung!$AA38*Konstanten!$K$3/3.6)+Massenstromrechnung!$X$3-Massenstromrechnung!$X$3&lt;1.4,"RLT zu niedrig",CO28/(Massenstromrechnung!$AA38*Konstanten!$K$3/3.6)+Massenstromrechnung!$X$3)</f>
        <v>11.977509693669461</v>
      </c>
      <c r="CQ28" s="103" t="str">
        <f>IF(CP28="RLT zu niedrig","RLT zu niedrig",IF(OR(Massenstromrechnung!$Y$6&lt;(CP28*50+Massenstromrechnung!$X$3)/51,(Massenstromrechnung!$Y$6-(CP28*51+Massenstromrechnung!$X$3)/51)&lt;0.7),"trocken","feucht"))</f>
        <v>feucht</v>
      </c>
      <c r="CR28" s="104">
        <f>IF(CP28="RLT zu niedrig","RLT zu niedrig",(Massenstromrechnung!$X$4-(Massenstromrechnung!$X$3+CP28)/2)^Konstanten!$E$7*$AK28*$AL28^Konstanten!$F$7*(CP28-Massenstromrechnung!$X$3)^Konstanten!$G$7*((Massenstromrechnung!$X$3+CP28)/2)^Konstanten!$H$7*(Konstanten!$C$7-(CP28-Massenstromrechnung!$X$3)^Konstanten!$I$7*Konstanten!$D$7))</f>
        <v>3339.0819196851016</v>
      </c>
      <c r="CS28" s="104">
        <f>IF(CP28="RLT zu niedrig","RLT zu niedrig",IF(CQ28="trocken",CR28,IF(Konstanten!$A$18*(Massenstromrechnung!$Y$6^Konstanten!$B$18*(Massenstromrechnung!$X$4-(Iteration!CP28+Massenstromrechnung!$X$3)/2)^Konstanten!$C$18*CR28^Konstanten!$D$18*((Massenstromrechnung!$X$3+Iteration!CP28)/2)^Konstanten!$E$18+(Iteration!CP28-Massenstromrechnung!$X$3)^Konstanten!$F$18)&lt;1,CR28,CR28*Konstanten!$A$18*(Massenstromrechnung!$Y$6^Konstanten!$B$18*(Massenstromrechnung!$X$4-(Iteration!CP28+Massenstromrechnung!$X$3)/2)^Konstanten!$C$18*CR28^Konstanten!$D$18*((Massenstromrechnung!$X$3+Iteration!CP28)/2)^Konstanten!$E$18+(Iteration!CP28-Massenstromrechnung!$X$3)^Konstanten!$F$18))))</f>
        <v>4370.3227250234104</v>
      </c>
    </row>
    <row r="29" spans="1:97" x14ac:dyDescent="0.3">
      <c r="A29">
        <f>Massenstromrechnung!B39</f>
        <v>2520</v>
      </c>
      <c r="B29" s="27">
        <v>735</v>
      </c>
      <c r="C29" s="103">
        <f>IF(Massenstromrechnung!$K$3-10&lt;=Massenstromrechnung!$K$4,Massenstromrechnung!$K$3-0.75*(Massenstromrechnung!$K$3-Massenstromrechnung!$K$4),Massenstromrechnung!$K$3-10)</f>
        <v>65</v>
      </c>
      <c r="D29" s="103">
        <f>-1*((Massenstromrechnung!$K$3+C29)/2-Massenstromrechnung!$K$4)^Konstanten!$E$4*Massenstromrechnung!$B39*Massenstromrechnung!$C39^Konstanten!$F$4*(Massenstromrechnung!$K$3-C29)^Konstanten!$G$4*((Massenstromrechnung!$K$3+C29)/2)^Konstanten!$H$4*(Konstanten!$C$4-((Massenstromrechnung!$K$3-C29)^Konstanten!$I$4*Konstanten!$D$4))/(Massenstromrechnung!$F39*Konstanten!$K$3/3.6)+Massenstromrechnung!$K$3</f>
        <v>65</v>
      </c>
      <c r="E29" s="103">
        <f t="shared" si="6"/>
        <v>65</v>
      </c>
      <c r="F29" s="103">
        <f>-1*((Massenstromrechnung!$K$3+E29)/2-Massenstromrechnung!$K$4)^Konstanten!$E$4*Massenstromrechnung!$B39*Massenstromrechnung!$C39^Konstanten!$F$4*(Massenstromrechnung!$K$3-E29)^Konstanten!$G$4*((Massenstromrechnung!$K$3+E29)/2)^Konstanten!$H$4*(Konstanten!$C$4-((Massenstromrechnung!$K$3-E29)^Konstanten!$I$4*Konstanten!$D$4))/(Massenstromrechnung!$F39*Konstanten!$K$3/3.6)+Massenstromrechnung!$K$3</f>
        <v>65</v>
      </c>
      <c r="G29" s="103">
        <f t="shared" si="0"/>
        <v>65</v>
      </c>
      <c r="H29" s="103">
        <f>-1*((Massenstromrechnung!$K$3+G29)/2-Massenstromrechnung!$K$4)^Konstanten!$E$4*Massenstromrechnung!$B39*Massenstromrechnung!$C39^Konstanten!$F$4*(Massenstromrechnung!$K$3-G29)^Konstanten!$G$4*((Massenstromrechnung!$K$3+G29)/2)^Konstanten!$H$4*(Konstanten!$C$4-((Massenstromrechnung!$K$3-G29)^Konstanten!$I$4*Konstanten!$D$4))/(Massenstromrechnung!$F39*Konstanten!$K$3/3.6)+Massenstromrechnung!$K$3</f>
        <v>65</v>
      </c>
      <c r="I29" s="103">
        <f t="shared" si="1"/>
        <v>65</v>
      </c>
      <c r="J29" s="103">
        <f>-1*((Massenstromrechnung!$K$3+I29)/2-Massenstromrechnung!$K$4)^Konstanten!$E$4*Massenstromrechnung!$B39*Massenstromrechnung!$C39^Konstanten!$F$4*(Massenstromrechnung!$K$3-I29)^Konstanten!$G$4*((Massenstromrechnung!$K$3+I29)/2)^Konstanten!$H$4*(Konstanten!$C$4-((Massenstromrechnung!$K$3-I29)^Konstanten!$I$4*Konstanten!$D$4))/(Massenstromrechnung!$F39*Konstanten!$K$3/3.6)+Massenstromrechnung!$K$3</f>
        <v>65</v>
      </c>
      <c r="K29" s="103">
        <f t="shared" si="2"/>
        <v>65</v>
      </c>
      <c r="L29" s="103">
        <f>-1*((Massenstromrechnung!$K$3+K29)/2-Massenstromrechnung!$K$4)^Konstanten!$E$4*Massenstromrechnung!$B39*Massenstromrechnung!$C39^Konstanten!$F$4*(Massenstromrechnung!$K$3-K29)^Konstanten!$G$4*((Massenstromrechnung!$K$3+K29)/2)^Konstanten!$H$4*(Konstanten!$C$4-((Massenstromrechnung!$K$3-K29)^Konstanten!$I$4*Konstanten!$D$4))/(Massenstromrechnung!$F39*Konstanten!$K$3/3.6)+Massenstromrechnung!$K$3</f>
        <v>65</v>
      </c>
      <c r="N29">
        <f>'Katalogdaten M3G045'!B43</f>
        <v>2520</v>
      </c>
      <c r="O29" s="27">
        <v>735</v>
      </c>
      <c r="P29" s="103">
        <f>IF(Massenstromrechnung!$K$3-10&lt;=Massenstromrechnung!$K$4,Massenstromrechnung!$K$3-0.75*(Massenstromrechnung!$K$3-Massenstromrechnung!$K$4),Massenstromrechnung!$K$3-10)</f>
        <v>65</v>
      </c>
      <c r="Q29" s="103" t="e">
        <f>-1*((Massenstromrechnung!$K$3+P29)/2-Massenstromrechnung!$K$4)^Konstanten!$E$4*Massenstromrechnung!$B39*Massenstromrechnung!$C39^Konstanten!$F$4*(Massenstromrechnung!$K$3-P29)^Konstanten!$G$4*((Massenstromrechnung!$K$3+P29)/2)^Konstanten!$H$4*(Konstanten!$C$4-((Massenstromrechnung!$K$3-P29)^Konstanten!$I$4*Konstanten!$D$4))/(Massenstromrechnung!#REF!*Konstanten!$K$3/3.6)+Massenstromrechnung!$K$3</f>
        <v>#REF!</v>
      </c>
      <c r="R29" s="103" t="e">
        <f t="shared" si="7"/>
        <v>#REF!</v>
      </c>
      <c r="S29" s="103" t="e">
        <f>-1*((Massenstromrechnung!$K$3+R29)/2-Massenstromrechnung!$K$4)^Konstanten!$E$4*Massenstromrechnung!$B39*Massenstromrechnung!$C39^Konstanten!$F$4*(Massenstromrechnung!$K$3-R29)^Konstanten!$G$4*((Massenstromrechnung!$K$3+R29)/2)^Konstanten!$H$4*(Konstanten!$C$4-((Massenstromrechnung!$K$3-R29)^Konstanten!$I$4*Konstanten!$D$4))/(Massenstromrechnung!#REF!*Konstanten!$K$3/3.6)+Massenstromrechnung!$K$3</f>
        <v>#REF!</v>
      </c>
      <c r="T29" s="103" t="e">
        <f t="shared" si="3"/>
        <v>#REF!</v>
      </c>
      <c r="U29" s="103" t="e">
        <f>-1*((Massenstromrechnung!$K$3+T29)/2-Massenstromrechnung!$K$4)^Konstanten!$E$4*Massenstromrechnung!$B39*Massenstromrechnung!$C39^Konstanten!$F$4*(Massenstromrechnung!$K$3-T29)^Konstanten!$G$4*((Massenstromrechnung!$K$3+T29)/2)^Konstanten!$H$4*(Konstanten!$C$4-((Massenstromrechnung!$K$3-T29)^Konstanten!$I$4*Konstanten!$D$4))/(Massenstromrechnung!#REF!*Konstanten!$K$3/3.6)+Massenstromrechnung!$K$3</f>
        <v>#REF!</v>
      </c>
      <c r="V29" s="103" t="e">
        <f t="shared" si="4"/>
        <v>#REF!</v>
      </c>
      <c r="W29" s="103" t="e">
        <f>-1*((Massenstromrechnung!$K$3+V29)/2-Massenstromrechnung!$K$4)^Konstanten!$E$4*Massenstromrechnung!$B39*Massenstromrechnung!$C39^Konstanten!$F$4*(Massenstromrechnung!$K$3-V29)^Konstanten!$G$4*((Massenstromrechnung!$K$3+V29)/2)^Konstanten!$H$4*(Konstanten!$C$4-((Massenstromrechnung!$K$3-V29)^Konstanten!$I$4*Konstanten!$D$4))/(Massenstromrechnung!#REF!*Konstanten!$K$3/3.6)+Massenstromrechnung!$K$3</f>
        <v>#REF!</v>
      </c>
      <c r="X29" s="103" t="e">
        <f t="shared" si="5"/>
        <v>#REF!</v>
      </c>
      <c r="Y29" s="103" t="e">
        <f>-1*((Massenstromrechnung!$K$3+X29)/2-Massenstromrechnung!$K$4)^Konstanten!$E$4*Massenstromrechnung!$B39*Massenstromrechnung!$C39^Konstanten!$F$4*(Massenstromrechnung!$K$3-X29)^Konstanten!$G$4*((Massenstromrechnung!$K$3+X29)/2)^Konstanten!$H$4*(Konstanten!$C$4-((Massenstromrechnung!$K$3-X29)^Konstanten!$I$4*Konstanten!$D$4))/(Massenstromrechnung!#REF!*Konstanten!$K$3/3.6)+Massenstromrechnung!$K$3</f>
        <v>#REF!</v>
      </c>
      <c r="AA29">
        <f t="shared" si="8"/>
        <v>2520</v>
      </c>
      <c r="AB29">
        <f t="shared" si="8"/>
        <v>735</v>
      </c>
      <c r="AC29" s="103">
        <f>IF(Massenstromrechnung!$K$3-10&lt;=Massenstromrechnung!$K$4,Massenstromrechnung!$K$3-0.75*(Massenstromrechnung!$K$3-Massenstromrechnung!$K$4),Massenstromrechnung!$K$3-10)</f>
        <v>65</v>
      </c>
      <c r="AD29" s="103">
        <f>-1*((Massenstromrechnung!$K$3+AC29)/2-Massenstromrechnung!$K$4)^Konstanten!$E$5*$AA29*$AB29^Konstanten!$F$5*(Massenstromrechnung!$K$3-AC29)^Konstanten!$G$5*((Massenstromrechnung!$K$3+AC29)/2)^Konstanten!$H$5*(Konstanten!$C$5-((Massenstromrechnung!$K$3-AC29)^Konstanten!$I$5*Konstanten!$D$5))/(Massenstromrechnung!$L39*Konstanten!$K$3/3.6)+Massenstromrechnung!$K$3</f>
        <v>65</v>
      </c>
      <c r="AE29" s="103">
        <f>-1*((Massenstromrechnung!$K$3+AD29)/2-Massenstromrechnung!$K$4)^Konstanten!$E$5*$AA29*$AB29^Konstanten!$F$5*(Massenstromrechnung!$K$3-AD29)^Konstanten!$G$5*((Massenstromrechnung!$K$3+AD29)/2)^Konstanten!$H$5*(Konstanten!$C$5-((Massenstromrechnung!$K$3-AD29)^Konstanten!$I$5*Konstanten!$D$5))/(Massenstromrechnung!$L39*Konstanten!$K$3/3.6)+Massenstromrechnung!$K$3</f>
        <v>65</v>
      </c>
      <c r="AF29" s="103">
        <f>-1*((Massenstromrechnung!$K$3+AE29)/2-Massenstromrechnung!$K$4)^Konstanten!$E$5*$AA29*$AB29^Konstanten!$F$5*(Massenstromrechnung!$K$3-AE29)^Konstanten!$G$5*((Massenstromrechnung!$K$3+AE29)/2)^Konstanten!$H$5*(Konstanten!$C$5-((Massenstromrechnung!$K$3-AE29)^Konstanten!$I$5*Konstanten!$D$5))/(Massenstromrechnung!$L39*Konstanten!$K$3/3.6)+Massenstromrechnung!$K$3</f>
        <v>65</v>
      </c>
      <c r="AG29" s="103">
        <f>-1*((Massenstromrechnung!$K$3+AF29)/2-Massenstromrechnung!$K$4)^Konstanten!$E$5*$AA29*$AB29^Konstanten!$F$5*(Massenstromrechnung!$K$3-AF29)^Konstanten!$G$5*((Massenstromrechnung!$K$3+AF29)/2)^Konstanten!$H$5*(Konstanten!$C$5-((Massenstromrechnung!$K$3-AF29)^Konstanten!$I$5*Konstanten!$D$5))/(Massenstromrechnung!$L39*Konstanten!$K$3/3.6)+Massenstromrechnung!$K$3</f>
        <v>65</v>
      </c>
      <c r="AH29" s="103">
        <f>-1*((Massenstromrechnung!$K$3+AG29)/2-Massenstromrechnung!$K$4)^Konstanten!$E$5*$AA29*$AB29^Konstanten!$F$5*(Massenstromrechnung!$K$3-AG29)^Konstanten!$G$5*((Massenstromrechnung!$K$3+AG29)/2)^Konstanten!$H$5*(Konstanten!$C$5-((Massenstromrechnung!$K$3-AG29)^Konstanten!$I$5*Konstanten!$D$5))/(Massenstromrechnung!$L39*Konstanten!$K$3/3.6)+Massenstromrechnung!$K$3</f>
        <v>65</v>
      </c>
      <c r="AI29" s="103">
        <f>-1*((Massenstromrechnung!$K$3+AH29)/2-Massenstromrechnung!$K$4)^Konstanten!$E$5*$AA29*$AB29^Konstanten!$F$5*(Massenstromrechnung!$K$3-AH29)^Konstanten!$G$5*((Massenstromrechnung!$K$3+AH29)/2)^Konstanten!$H$5*(Konstanten!$C$5-((Massenstromrechnung!$K$3-AH29)^Konstanten!$I$5*Konstanten!$D$5))/(Massenstromrechnung!$L39*Konstanten!$K$3/3.6)+Massenstromrechnung!$K$3</f>
        <v>65</v>
      </c>
      <c r="AK29">
        <f t="shared" si="9"/>
        <v>2520</v>
      </c>
      <c r="AL29">
        <f t="shared" si="9"/>
        <v>735</v>
      </c>
      <c r="AM29" s="103">
        <f>Massenstromrechnung!$X$3+2</f>
        <v>9</v>
      </c>
      <c r="AN29" s="103" t="str">
        <f>IF(OR(Massenstromrechnung!$Y$6&lt;(AM29*50+Massenstromrechnung!$X$3)/51,(Massenstromrechnung!$Y$6-(AM29*51+Massenstromrechnung!$X$3)/51)&lt;0.7),"trocken","feucht")</f>
        <v>feucht</v>
      </c>
      <c r="AO29" s="104">
        <f>(Massenstromrechnung!$X$4-(Massenstromrechnung!$X$3+AM29)/2)^Konstanten!$E$6*$AK29*$AL29^Konstanten!$F$6*(AM29-Massenstromrechnung!$X$3)^Konstanten!$G$6*((Massenstromrechnung!$X$3+AM29)/2)^Konstanten!$H$6*(Konstanten!$C$6-(AM29-Massenstromrechnung!$X$3)^Konstanten!$I$6*Konstanten!$D$6)</f>
        <v>2518.756291037565</v>
      </c>
      <c r="AP29" s="104">
        <f>IF(AN29="trocken",AO29,IF(Konstanten!$A$18*(Massenstromrechnung!$Y$6^Konstanten!$B$18*(Massenstromrechnung!$X$4-(Iteration!AM29+Massenstromrechnung!$X$3)/2)^Konstanten!$C$18*AO29^Konstanten!$D$18*((Massenstromrechnung!$X$3+Iteration!AM29)/2)^Konstanten!$E$18+(Iteration!AM29-Massenstromrechnung!$X$3)^Konstanten!$F$18)&lt;1,AO29,AO29*Konstanten!$A$18*(Massenstromrechnung!$Y$6^Konstanten!$B$18*(Massenstromrechnung!$X$4-(Iteration!AM29+Massenstromrechnung!$X$3)/2)^Konstanten!$C$18*AO29^Konstanten!$D$18*((Massenstromrechnung!$X$3+Iteration!AM29)/2)^Konstanten!$E$18+(Iteration!AM29-Massenstromrechnung!$X$3)^Konstanten!$F$18)))</f>
        <v>3671.2891856390215</v>
      </c>
      <c r="AQ29" s="101">
        <f>AP29/(Massenstromrechnung!$R39*Konstanten!$K$3/3.6)+Massenstromrechnung!$X$3</f>
        <v>13.221168758809032</v>
      </c>
      <c r="AR29" s="103" t="str">
        <f>IF(OR(Massenstromrechnung!$Y$6&lt;(AQ29*50+Massenstromrechnung!$X$3)/51,(Massenstromrechnung!$Y$6-(AQ29*51+Massenstromrechnung!$X$3)/51)&lt;0.7),"trocken","feucht")</f>
        <v>feucht</v>
      </c>
      <c r="AS29" s="104">
        <f>(Massenstromrechnung!$X$4-(Massenstromrechnung!$X$3+AQ29)/2)^Konstanten!$E$6*$AK29*$AL29^Konstanten!$F$6*(AQ29-Massenstromrechnung!$X$3)^Konstanten!$G$6*((Massenstromrechnung!$X$3+AQ29)/2)^Konstanten!$H$6*(Konstanten!$C$6-(AQ29-Massenstromrechnung!$X$3)^Konstanten!$I$6*Konstanten!$D$6)</f>
        <v>2104.0556395867648</v>
      </c>
      <c r="AT29" s="104">
        <f>IF(AR29="trocken",AS29,IF(Konstanten!$A$18*(Massenstromrechnung!$Y$6^Konstanten!$B$18*(Massenstromrechnung!$X$4-(Iteration!AQ29+Massenstromrechnung!$X$3)/2)^Konstanten!$C$18*AS29^Konstanten!$D$18*((Massenstromrechnung!$X$3+Iteration!AQ29)/2)^Konstanten!$E$18+(Iteration!AQ29-Massenstromrechnung!$X$3)^Konstanten!$F$18)&lt;1,AS29,AS29*Konstanten!$A$18*(Massenstromrechnung!$Y$6^Konstanten!$B$18*(Massenstromrechnung!$X$4-(Iteration!AQ29+Massenstromrechnung!$X$3)/2)^Konstanten!$C$18*AS29^Konstanten!$D$18*((Massenstromrechnung!$X$3+Iteration!AQ29)/2)^Konstanten!$E$18+(Iteration!AQ29-Massenstromrechnung!$X$3)^Konstanten!$F$18)))</f>
        <v>2711.0178905294256</v>
      </c>
      <c r="AU29" s="101">
        <f>AT29/(Massenstromrechnung!$R39*Konstanten!$K$3/3.6)+Massenstromrechnung!$X$3</f>
        <v>11.593944784057754</v>
      </c>
      <c r="AV29" s="103" t="str">
        <f>IF(OR(Massenstromrechnung!$Y$6&lt;(AU29*50+Massenstromrechnung!$X$3)/51,(Massenstromrechnung!$Y$6-(AU29*51+Massenstromrechnung!$X$3)/51)&lt;0.7),"trocken","feucht")</f>
        <v>feucht</v>
      </c>
      <c r="AW29" s="104">
        <f>(Massenstromrechnung!$X$4-(Massenstromrechnung!$X$3+AU29)/2)^Konstanten!$E$6*$AK29*$AL29^Konstanten!$F$6*(AU29-Massenstromrechnung!$X$3)^Konstanten!$G$6*((Massenstromrechnung!$X$3+AU29)/2)^Konstanten!$H$6*(Konstanten!$C$6-(AU29-Massenstromrechnung!$X$3)^Konstanten!$I$6*Konstanten!$D$6)</f>
        <v>2271.9925614841936</v>
      </c>
      <c r="AX29" s="104">
        <f>IF(AV29="trocken",AW29,IF(Konstanten!$A$18*(Massenstromrechnung!$Y$6^Konstanten!$B$18*(Massenstromrechnung!$X$4-(Iteration!AU29+Massenstromrechnung!$X$3)/2)^Konstanten!$C$18*AW29^Konstanten!$D$18*((Massenstromrechnung!$X$3+Iteration!AU29)/2)^Konstanten!$E$18+(Iteration!AU29-Massenstromrechnung!$X$3)^Konstanten!$F$18)&lt;1,AW29,AW29*Konstanten!$A$18*(Massenstromrechnung!$Y$6^Konstanten!$B$18*(Massenstromrechnung!$X$4-(Iteration!AU29+Massenstromrechnung!$X$3)/2)^Konstanten!$C$18*AW29^Konstanten!$D$18*((Massenstromrechnung!$X$3+Iteration!AU29)/2)^Konstanten!$E$18+(Iteration!AU29-Massenstromrechnung!$X$3)^Konstanten!$F$18)))</f>
        <v>3038.2236500199192</v>
      </c>
      <c r="AY29" s="101">
        <f>AX29/(Massenstromrechnung!$R39*Konstanten!$K$3/3.6)+Massenstromrechnung!$X$3</f>
        <v>12.148410026569106</v>
      </c>
      <c r="AZ29" s="103" t="str">
        <f>IF(OR(Massenstromrechnung!$Y$6&lt;(AY29*50+Massenstromrechnung!$X$3)/51,(Massenstromrechnung!$Y$6-(AY29*51+Massenstromrechnung!$X$3)/51)&lt;0.7),"trocken","feucht")</f>
        <v>feucht</v>
      </c>
      <c r="BA29" s="104">
        <f>(Massenstromrechnung!$X$4-(Massenstromrechnung!$X$3+AY29)/2)^Konstanten!$E$6*$AK29*$AL29^Konstanten!$F$6*(AY29-Massenstromrechnung!$X$3)^Konstanten!$G$6*((Massenstromrechnung!$X$3+AY29)/2)^Konstanten!$H$6*(Konstanten!$C$6-(AY29-Massenstromrechnung!$X$3)^Konstanten!$I$6*Konstanten!$D$6)</f>
        <v>2213.1256645209396</v>
      </c>
      <c r="BB29" s="104">
        <f>IF(AZ29="trocken",BA29,IF(Konstanten!$A$18*(Massenstromrechnung!$Y$6^Konstanten!$B$18*(Massenstromrechnung!$X$4-(Iteration!AY29+Massenstromrechnung!$X$3)/2)^Konstanten!$C$18*BA29^Konstanten!$D$18*((Massenstromrechnung!$X$3+Iteration!AY29)/2)^Konstanten!$E$18+(Iteration!AY29-Massenstromrechnung!$X$3)^Konstanten!$F$18)&lt;1,BA29,BA29*Konstanten!$A$18*(Massenstromrechnung!$Y$6^Konstanten!$B$18*(Massenstromrechnung!$X$4-(Iteration!AY29+Massenstromrechnung!$X$3)/2)^Konstanten!$C$18*BA29^Konstanten!$D$18*((Massenstromrechnung!$X$3+Iteration!AY29)/2)^Konstanten!$E$18+(Iteration!AY29-Massenstromrechnung!$X$3)^Konstanten!$F$18)))</f>
        <v>2919.6660411062007</v>
      </c>
      <c r="BC29" s="101">
        <f>BB29/(Massenstromrechnung!$R39*Konstanten!$K$3/3.6)+Massenstromrechnung!$X$3</f>
        <v>11.947508693168768</v>
      </c>
      <c r="BD29" s="103" t="str">
        <f>IF(OR(Massenstromrechnung!$Y$6&lt;(BC29*50+Massenstromrechnung!$X$3)/51,(Massenstromrechnung!$Y$6-(BC29*51+Massenstromrechnung!$X$3)/51)&lt;0.7),"trocken","feucht")</f>
        <v>feucht</v>
      </c>
      <c r="BE29" s="104">
        <f>(Massenstromrechnung!$X$4-(Massenstromrechnung!$X$3+BC29)/2)^Konstanten!$E$6*$AK29*$AL29^Konstanten!$F$6*(BC29-Massenstromrechnung!$X$3)^Konstanten!$G$6*((Massenstromrechnung!$X$3+BC29)/2)^Konstanten!$H$6*(Konstanten!$C$6-(BC29-Massenstromrechnung!$X$3)^Konstanten!$I$6*Konstanten!$D$6)</f>
        <v>2234.2798850392542</v>
      </c>
      <c r="BF29" s="104">
        <f>IF(BD29="trocken",BE29,IF(Konstanten!$A$18*(Massenstromrechnung!$Y$6^Konstanten!$B$18*(Massenstromrechnung!$X$4-(Iteration!BC29+Massenstromrechnung!$X$3)/2)^Konstanten!$C$18*BE29^Konstanten!$D$18*((Massenstromrechnung!$X$3+Iteration!BC29)/2)^Konstanten!$E$18+(Iteration!BC29-Massenstromrechnung!$X$3)^Konstanten!$F$18)&lt;1,BE29,BE29*Konstanten!$A$18*(Massenstromrechnung!$Y$6^Konstanten!$B$18*(Massenstromrechnung!$X$4-(Iteration!BC29+Massenstromrechnung!$X$3)/2)^Konstanten!$C$18*BE29^Konstanten!$D$18*((Massenstromrechnung!$X$3+Iteration!BC29)/2)^Konstanten!$E$18+(Iteration!BC29-Massenstromrechnung!$X$3)^Konstanten!$F$18)))</f>
        <v>2961.7294476415482</v>
      </c>
      <c r="BG29" s="101">
        <f>BF29/(Massenstromrechnung!$R39*Konstanten!$K$3/3.6)+Massenstromrechnung!$X$3</f>
        <v>12.018787074520585</v>
      </c>
      <c r="BH29" s="103" t="str">
        <f>IF(OR(Massenstromrechnung!$Y$6&lt;(BG29*50+Massenstromrechnung!$X$3)/51,(Massenstromrechnung!$Y$6-(BG29*51+Massenstromrechnung!$X$3)/51)&lt;0.7),"trocken","feucht")</f>
        <v>feucht</v>
      </c>
      <c r="BI29" s="104">
        <f>(Massenstromrechnung!$X$4-(Massenstromrechnung!$X$3+BG29)/2)^Konstanten!$E$6*$AK29*$AL29^Konstanten!$F$6*(BG29-Massenstromrechnung!$X$3)^Konstanten!$G$6*((Massenstromrechnung!$X$3+BG29)/2)^Konstanten!$H$6*(Konstanten!$C$6-(BG29-Massenstromrechnung!$X$3)^Konstanten!$I$6*Konstanten!$D$6)</f>
        <v>2226.7502225219559</v>
      </c>
      <c r="BJ29" s="104">
        <f>IF(BH29="trocken",BI29,IF(Konstanten!$A$18*(Massenstromrechnung!$Y$6^Konstanten!$B$18*(Massenstromrechnung!$X$4-(Iteration!BG29+Massenstromrechnung!$X$3)/2)^Konstanten!$C$18*BI29^Konstanten!$D$18*((Massenstromrechnung!$X$3+Iteration!BG29)/2)^Konstanten!$E$18+(Iteration!BG29-Massenstromrechnung!$X$3)^Konstanten!$F$18)&lt;1,BI29,BI29*Konstanten!$A$18*(Massenstromrechnung!$Y$6^Konstanten!$B$18*(Massenstromrechnung!$X$4-(Iteration!BG29+Massenstromrechnung!$X$3)/2)^Konstanten!$C$18*BI29^Konstanten!$D$18*((Massenstromrechnung!$X$3+Iteration!BG29)/2)^Konstanten!$E$18+(Iteration!BG29-Massenstromrechnung!$X$3)^Konstanten!$F$18)))</f>
        <v>2946.6912850768463</v>
      </c>
      <c r="BK29" s="101">
        <f>IF(BJ29/(Massenstromrechnung!$R39*Konstanten!$K$3/3.6)+Massenstromrechnung!$X$3-Massenstromrechnung!$X$3&lt;1.4,"RLT zu niedrig",BJ29/(Massenstromrechnung!$R39*Konstanten!$K$3/3.6)+Massenstromrechnung!$X$3)</f>
        <v>11.993304214847376</v>
      </c>
      <c r="BL29" s="103" t="str">
        <f>IF(BK29="RLT zu niedrig","RLT zu niedrig",IF(OR(Massenstromrechnung!$Y$6&lt;(BK29*50+Massenstromrechnung!$X$3)/51,(Massenstromrechnung!$Y$6-(BK29*51+Massenstromrechnung!$X$3)/51)&lt;0.7),"trocken","feucht"))</f>
        <v>feucht</v>
      </c>
      <c r="BM29" s="104">
        <f>IF(BK29="RLT zu niedrig","RLT zu niedrig",(Massenstromrechnung!$X$4-(Massenstromrechnung!$X$3+BK29)/2)^Konstanten!$E$6*$AK29*$AL29^Konstanten!$F$6*(BK29-Massenstromrechnung!$X$3)^Konstanten!$G$6*((Massenstromrechnung!$X$3+BK29)/2)^Konstanten!$H$6*(Konstanten!$C$6-(BK29-Massenstromrechnung!$X$3)^Konstanten!$I$6*Konstanten!$D$6))</f>
        <v>2229.4391541275345</v>
      </c>
      <c r="BN29" s="104">
        <f>IF(BK29="RLT zu niedrig","RLT zu niedrig",IF(BL29="trocken",BM29,IF(Konstanten!$A$18*(Massenstromrechnung!$Y$6^Konstanten!$B$18*(Massenstromrechnung!$X$4-(Iteration!BK29+Massenstromrechnung!$X$3)/2)^Konstanten!$C$18*BM29^Konstanten!$D$18*((Massenstromrechnung!$X$3+Iteration!BK29)/2)^Konstanten!$E$18+(Iteration!BK29-Massenstromrechnung!$X$3)^Konstanten!$F$18)&lt;1,BM29,BM29*Konstanten!$A$18*(Massenstromrechnung!$Y$6^Konstanten!$B$18*(Massenstromrechnung!$X$4-(Iteration!BK29+Massenstromrechnung!$X$3)/2)^Konstanten!$C$18*BM29^Konstanten!$D$18*((Massenstromrechnung!$X$3+Iteration!BK29)/2)^Konstanten!$E$18+(Iteration!BK29-Massenstromrechnung!$X$3)^Konstanten!$F$18))))</f>
        <v>2952.0530649804023</v>
      </c>
      <c r="BO29" s="101"/>
      <c r="BP29">
        <f t="shared" si="10"/>
        <v>2520</v>
      </c>
      <c r="BQ29">
        <f t="shared" si="10"/>
        <v>735</v>
      </c>
      <c r="BR29" s="103">
        <f>Massenstromrechnung!$X$3+2</f>
        <v>9</v>
      </c>
      <c r="BS29" s="103" t="str">
        <f>IF(OR(Massenstromrechnung!$Y$6&lt;(BR29*50+Massenstromrechnung!$X$3)/51,(Massenstromrechnung!$Y$6-(BR29*51+Massenstromrechnung!$X$3)/51)&lt;0.7),"trocken","feucht")</f>
        <v>feucht</v>
      </c>
      <c r="BT29" s="104">
        <f>(Massenstromrechnung!$X$4-(Massenstromrechnung!$X$3+BR29)/2)^Konstanten!$E$7*$AK29*$AL29^Konstanten!$F$7*(BR29-Massenstromrechnung!$X$3)^Konstanten!$G$7*((Massenstromrechnung!$X$3+BR29)/2)^Konstanten!$H$7*(Konstanten!$C$7-(BR29-Massenstromrechnung!$X$3)^Konstanten!$I$7*Konstanten!$D$7)</f>
        <v>2751.3184769182803</v>
      </c>
      <c r="BU29" s="104">
        <f>IF(BS29="trocken",BT29,IF(Konstanten!$A$18*(Massenstromrechnung!$Y$6^Konstanten!$B$18*(Massenstromrechnung!$X$4-(Iteration!BR29+Massenstromrechnung!$X$3)/2)^Konstanten!$C$18*BT29^Konstanten!$D$18*((Massenstromrechnung!$X$3+Iteration!BR29)/2)^Konstanten!$E$18+(Iteration!BR29-Massenstromrechnung!$X$3)^Konstanten!$F$18)&lt;1,BT29,BT29*Konstanten!$A$18*(Massenstromrechnung!$Y$6^Konstanten!$B$18*(Massenstromrechnung!$X$4-(Iteration!BR29+Massenstromrechnung!$X$3)/2)^Konstanten!$C$18*BT29^Konstanten!$D$18*((Massenstromrechnung!$X$3+Iteration!BR29)/2)^Konstanten!$E$18+(Iteration!BR29-Massenstromrechnung!$X$3)^Konstanten!$F$18)))</f>
        <v>4000.0463922150129</v>
      </c>
      <c r="BV29" s="101">
        <f>BU29/(Massenstromrechnung!$AA39*Konstanten!$K$3/3.6)+Massenstromrechnung!$X$3</f>
        <v>13.899431525204283</v>
      </c>
      <c r="BW29" s="103" t="str">
        <f>IF(OR(Massenstromrechnung!$Y$6&lt;(BV29*50+Massenstromrechnung!$X$3)/51,(Massenstromrechnung!$Y$6-(BV29*51+Massenstromrechnung!$X$3)/51)&lt;0.7),"trocken","feucht")</f>
        <v>feucht</v>
      </c>
      <c r="BX29" s="104">
        <f>(Massenstromrechnung!$X$4-(Massenstromrechnung!$X$3+BV29)/2)^Konstanten!$E$7*$AK29*$AL29^Konstanten!$F$7*(BV29-Massenstromrechnung!$X$3)^Konstanten!$G$7*((Massenstromrechnung!$X$3+BV29)/2)^Konstanten!$H$7*(Konstanten!$C$7-(BV29-Massenstromrechnung!$X$3)^Konstanten!$I$7*Konstanten!$D$7)</f>
        <v>1966.2602412991148</v>
      </c>
      <c r="BY29" s="104">
        <f>IF(BW29="trocken",BX29,IF(Konstanten!$A$18*(Massenstromrechnung!$Y$6^Konstanten!$B$18*(Massenstromrechnung!$X$4-(Iteration!BV29+Massenstromrechnung!$X$3)/2)^Konstanten!$C$18*BX29^Konstanten!$D$18*((Massenstromrechnung!$X$3+Iteration!BV29)/2)^Konstanten!$E$18+(Iteration!BV29-Massenstromrechnung!$X$3)^Konstanten!$F$18)&lt;1,BX29,BX29*Konstanten!$A$18*(Massenstromrechnung!$Y$6^Konstanten!$B$18*(Massenstromrechnung!$X$4-(Iteration!BV29+Massenstromrechnung!$X$3)/2)^Konstanten!$C$18*BX29^Konstanten!$D$18*((Massenstromrechnung!$X$3+Iteration!BV29)/2)^Konstanten!$E$18+(Iteration!BV29-Massenstromrechnung!$X$3)^Konstanten!$F$18)))</f>
        <v>2502.337549753669</v>
      </c>
      <c r="BZ29" s="101">
        <f>BY29/(Massenstromrechnung!$AA39*Konstanten!$K$3/3.6)+Massenstromrechnung!$X$3</f>
        <v>11.316126585700079</v>
      </c>
      <c r="CA29" s="103" t="str">
        <f>IF(OR(Massenstromrechnung!$Y$6&lt;(BZ29*50+Massenstromrechnung!$X$3)/51,(Massenstromrechnung!$Y$6-(BZ29*51+Massenstromrechnung!$X$3)/51)&lt;0.7),"trocken","feucht")</f>
        <v>feucht</v>
      </c>
      <c r="CB29" s="104">
        <f>(Massenstromrechnung!$X$4-(Massenstromrechnung!$X$3+BZ29)/2)^Konstanten!$E$7*$AK29*$AL29^Konstanten!$F$7*(BZ29-Massenstromrechnung!$X$3)^Konstanten!$G$7*((Massenstromrechnung!$X$3+BZ29)/2)^Konstanten!$H$7*(Konstanten!$C$7-(BZ29-Massenstromrechnung!$X$3)^Konstanten!$I$7*Konstanten!$D$7)</f>
        <v>2284.1553222694388</v>
      </c>
      <c r="CC29" s="104">
        <f>IF(CA29="trocken",CB29,IF(Konstanten!$A$18*(Massenstromrechnung!$Y$6^Konstanten!$B$18*(Massenstromrechnung!$X$4-(Iteration!BZ29+Massenstromrechnung!$X$3)/2)^Konstanten!$C$18*CB29^Konstanten!$D$18*((Massenstromrechnung!$X$3+Iteration!BZ29)/2)^Konstanten!$E$18+(Iteration!BZ29-Massenstromrechnung!$X$3)^Konstanten!$F$18)&lt;1,CB29,CB29*Konstanten!$A$18*(Massenstromrechnung!$Y$6^Konstanten!$B$18*(Massenstromrechnung!$X$4-(Iteration!BZ29+Massenstromrechnung!$X$3)/2)^Konstanten!$C$18*CB29^Konstanten!$D$18*((Massenstromrechnung!$X$3+Iteration!BZ29)/2)^Konstanten!$E$18+(Iteration!BZ29-Massenstromrechnung!$X$3)^Konstanten!$F$18)))</f>
        <v>3077.2942708992055</v>
      </c>
      <c r="CD29" s="101">
        <f>CC29/(Massenstromrechnung!$AA39*Konstanten!$K$3/3.6)+Massenstromrechnung!$X$3</f>
        <v>12.30783371570238</v>
      </c>
      <c r="CE29" s="103" t="str">
        <f>IF(OR(Massenstromrechnung!$Y$6&lt;(CD29*50+Massenstromrechnung!$X$3)/51,(Massenstromrechnung!$Y$6-(CD29*51+Massenstromrechnung!$X$3)/51)&lt;0.7),"trocken","feucht")</f>
        <v>feucht</v>
      </c>
      <c r="CF29" s="104">
        <f>(Massenstromrechnung!$X$4-(Massenstromrechnung!$X$3+CD29)/2)^Konstanten!$E$7*$AK29*$AL29^Konstanten!$F$7*(CD29-Massenstromrechnung!$X$3)^Konstanten!$G$7*((Massenstromrechnung!$X$3+CD29)/2)^Konstanten!$H$7*(Konstanten!$C$7-(CD29-Massenstromrechnung!$X$3)^Konstanten!$I$7*Konstanten!$D$7)</f>
        <v>2148.5923095032244</v>
      </c>
      <c r="CG29" s="104">
        <f>IF(CE29="trocken",CF29,IF(Konstanten!$A$18*(Massenstromrechnung!$Y$6^Konstanten!$B$18*(Massenstromrechnung!$X$4-(Iteration!CD29+Massenstromrechnung!$X$3)/2)^Konstanten!$C$18*CF29^Konstanten!$D$18*((Massenstromrechnung!$X$3+Iteration!CD29)/2)^Konstanten!$E$18+(Iteration!CD29-Massenstromrechnung!$X$3)^Konstanten!$F$18)&lt;1,CF29,CF29*Konstanten!$A$18*(Massenstromrechnung!$Y$6^Konstanten!$B$18*(Massenstromrechnung!$X$4-(Iteration!CD29+Massenstromrechnung!$X$3)/2)^Konstanten!$C$18*CF29^Konstanten!$D$18*((Massenstromrechnung!$X$3+Iteration!CD29)/2)^Konstanten!$E$18+(Iteration!CD29-Massenstromrechnung!$X$3)^Konstanten!$F$18)))</f>
        <v>2825.8836253559762</v>
      </c>
      <c r="CH29" s="101">
        <f>CG29/(Massenstromrechnung!$AA39*Konstanten!$K$3/3.6)+Massenstromrechnung!$X$3</f>
        <v>11.874191111704381</v>
      </c>
      <c r="CI29" s="103" t="str">
        <f>IF(OR(Massenstromrechnung!$Y$6&lt;(CH29*50+Massenstromrechnung!$X$3)/51,(Massenstromrechnung!$Y$6-(CH29*51+Massenstromrechnung!$X$3)/51)&lt;0.7),"trocken","feucht")</f>
        <v>feucht</v>
      </c>
      <c r="CJ29" s="104">
        <f>(Massenstromrechnung!$X$4-(Massenstromrechnung!$X$3+CH29)/2)^Konstanten!$E$7*$AK29*$AL29^Konstanten!$F$7*(CH29-Massenstromrechnung!$X$3)^Konstanten!$G$7*((Massenstromrechnung!$X$3+CH29)/2)^Konstanten!$H$7*(Konstanten!$C$7-(CH29-Massenstromrechnung!$X$3)^Konstanten!$I$7*Konstanten!$D$7)</f>
        <v>2205.2132778345144</v>
      </c>
      <c r="CK29" s="104">
        <f>IF(CI29="trocken",CJ29,IF(Konstanten!$A$18*(Massenstromrechnung!$Y$6^Konstanten!$B$18*(Massenstromrechnung!$X$4-(Iteration!CH29+Massenstromrechnung!$X$3)/2)^Konstanten!$C$18*CJ29^Konstanten!$D$18*((Massenstromrechnung!$X$3+Iteration!CH29)/2)^Konstanten!$E$18+(Iteration!CH29-Massenstromrechnung!$X$3)^Konstanten!$F$18)&lt;1,CJ29,CJ29*Konstanten!$A$18*(Massenstromrechnung!$Y$6^Konstanten!$B$18*(Massenstromrechnung!$X$4-(Iteration!CH29+Massenstromrechnung!$X$3)/2)^Konstanten!$C$18*CJ29^Konstanten!$D$18*((Massenstromrechnung!$X$3+Iteration!CH29)/2)^Konstanten!$E$18+(Iteration!CH29-Massenstromrechnung!$X$3)^Konstanten!$F$18)))</f>
        <v>2929.853515361111</v>
      </c>
      <c r="CL29" s="101">
        <f>CK29/(Massenstromrechnung!$AA39*Konstanten!$K$3/3.6)+Massenstromrechnung!$X$3</f>
        <v>12.053522316004795</v>
      </c>
      <c r="CM29" s="103" t="str">
        <f>IF(OR(Massenstromrechnung!$Y$6&lt;(CL29*50+Massenstromrechnung!$X$3)/51,(Massenstromrechnung!$Y$6-(CL29*51+Massenstromrechnung!$X$3)/51)&lt;0.7),"trocken","feucht")</f>
        <v>feucht</v>
      </c>
      <c r="CN29" s="104">
        <f>(Massenstromrechnung!$X$4-(Massenstromrechnung!$X$3+CL29)/2)^Konstanten!$E$7*$AK29*$AL29^Konstanten!$F$7*(CL29-Massenstromrechnung!$X$3)^Konstanten!$G$7*((Massenstromrechnung!$X$3+CL29)/2)^Konstanten!$H$7*(Konstanten!$C$7-(CL29-Massenstromrechnung!$X$3)^Konstanten!$I$7*Konstanten!$D$7)</f>
        <v>2181.3485446546983</v>
      </c>
      <c r="CO29" s="104">
        <f>IF(CM29="trocken",CN29,IF(Konstanten!$A$18*(Massenstromrechnung!$Y$6^Konstanten!$B$18*(Massenstromrechnung!$X$4-(Iteration!CL29+Massenstromrechnung!$X$3)/2)^Konstanten!$C$18*CN29^Konstanten!$D$18*((Massenstromrechnung!$X$3+Iteration!CL29)/2)^Konstanten!$E$18+(Iteration!CL29-Massenstromrechnung!$X$3)^Konstanten!$F$18)&lt;1,CN29,CN29*Konstanten!$A$18*(Massenstromrechnung!$Y$6^Konstanten!$B$18*(Massenstromrechnung!$X$4-(Iteration!CL29+Massenstromrechnung!$X$3)/2)^Konstanten!$C$18*CN29^Konstanten!$D$18*((Massenstromrechnung!$X$3+Iteration!CL29)/2)^Konstanten!$E$18+(Iteration!CL29-Massenstromrechnung!$X$3)^Konstanten!$F$18)))</f>
        <v>2885.8439862620839</v>
      </c>
      <c r="CP29" s="101">
        <f>IF(CO29/(Massenstromrechnung!$AA39*Konstanten!$K$3/3.6)+Massenstromrechnung!$X$3-Massenstromrechnung!$X$3&lt;1.4,"RLT zu niedrig",CO29/(Massenstromrechnung!$AA39*Konstanten!$K$3/3.6)+Massenstromrechnung!$X$3)</f>
        <v>11.977613013286163</v>
      </c>
      <c r="CQ29" s="103" t="str">
        <f>IF(CP29="RLT zu niedrig","RLT zu niedrig",IF(OR(Massenstromrechnung!$Y$6&lt;(CP29*50+Massenstromrechnung!$X$3)/51,(Massenstromrechnung!$Y$6-(CP29*51+Massenstromrechnung!$X$3)/51)&lt;0.7),"trocken","feucht"))</f>
        <v>feucht</v>
      </c>
      <c r="CR29" s="104">
        <f>IF(CP29="RLT zu niedrig","RLT zu niedrig",(Massenstromrechnung!$X$4-(Massenstromrechnung!$X$3+CP29)/2)^Konstanten!$E$7*$AK29*$AL29^Konstanten!$F$7*(CP29-Massenstromrechnung!$X$3)^Konstanten!$G$7*((Massenstromrechnung!$X$3+CP29)/2)^Konstanten!$H$7*(Konstanten!$C$7-(CP29-Massenstromrechnung!$X$3)^Konstanten!$I$7*Konstanten!$D$7))</f>
        <v>2191.3693794405326</v>
      </c>
      <c r="CS29" s="104">
        <f>IF(CP29="RLT zu niedrig","RLT zu niedrig",IF(CQ29="trocken",CR29,IF(Konstanten!$A$18*(Massenstromrechnung!$Y$6^Konstanten!$B$18*(Massenstromrechnung!$X$4-(Iteration!CP29+Massenstromrechnung!$X$3)/2)^Konstanten!$C$18*CR29^Konstanten!$D$18*((Massenstromrechnung!$X$3+Iteration!CP29)/2)^Konstanten!$E$18+(Iteration!CP29-Massenstromrechnung!$X$3)^Konstanten!$F$18)&lt;1,CR29,CR29*Konstanten!$A$18*(Massenstromrechnung!$Y$6^Konstanten!$B$18*(Massenstromrechnung!$X$4-(Iteration!CP29+Massenstromrechnung!$X$3)/2)^Konstanten!$C$18*CR29^Konstanten!$D$18*((Massenstromrechnung!$X$3+Iteration!CP29)/2)^Konstanten!$E$18+(Iteration!CP29-Massenstromrechnung!$X$3)^Konstanten!$F$18))))</f>
        <v>2904.290770547459</v>
      </c>
    </row>
    <row r="30" spans="1:97" x14ac:dyDescent="0.3">
      <c r="A30">
        <f>Massenstromrechnung!B40</f>
        <v>2520</v>
      </c>
      <c r="B30" s="27">
        <v>495</v>
      </c>
      <c r="C30" s="103">
        <f>IF(Massenstromrechnung!$K$3-10&lt;=Massenstromrechnung!$K$4,Massenstromrechnung!$K$3-0.75*(Massenstromrechnung!$K$3-Massenstromrechnung!$K$4),Massenstromrechnung!$K$3-10)</f>
        <v>65</v>
      </c>
      <c r="D30" s="103">
        <f>-1*((Massenstromrechnung!$K$3+C30)/2-Massenstromrechnung!$K$4)^Konstanten!$E$4*Massenstromrechnung!$B40*Massenstromrechnung!$C40^Konstanten!$F$4*(Massenstromrechnung!$K$3-C30)^Konstanten!$G$4*((Massenstromrechnung!$K$3+C30)/2)^Konstanten!$H$4*(Konstanten!$C$4-((Massenstromrechnung!$K$3-C30)^Konstanten!$I$4*Konstanten!$D$4))/(Massenstromrechnung!$F40*Konstanten!$K$3/3.6)+Massenstromrechnung!$K$3</f>
        <v>65</v>
      </c>
      <c r="E30" s="103">
        <f t="shared" si="6"/>
        <v>65</v>
      </c>
      <c r="F30" s="103">
        <f>-1*((Massenstromrechnung!$K$3+E30)/2-Massenstromrechnung!$K$4)^Konstanten!$E$4*Massenstromrechnung!$B40*Massenstromrechnung!$C40^Konstanten!$F$4*(Massenstromrechnung!$K$3-E30)^Konstanten!$G$4*((Massenstromrechnung!$K$3+E30)/2)^Konstanten!$H$4*(Konstanten!$C$4-((Massenstromrechnung!$K$3-E30)^Konstanten!$I$4*Konstanten!$D$4))/(Massenstromrechnung!$F40*Konstanten!$K$3/3.6)+Massenstromrechnung!$K$3</f>
        <v>65</v>
      </c>
      <c r="G30" s="103">
        <f t="shared" si="0"/>
        <v>65</v>
      </c>
      <c r="H30" s="103">
        <f>-1*((Massenstromrechnung!$K$3+G30)/2-Massenstromrechnung!$K$4)^Konstanten!$E$4*Massenstromrechnung!$B40*Massenstromrechnung!$C40^Konstanten!$F$4*(Massenstromrechnung!$K$3-G30)^Konstanten!$G$4*((Massenstromrechnung!$K$3+G30)/2)^Konstanten!$H$4*(Konstanten!$C$4-((Massenstromrechnung!$K$3-G30)^Konstanten!$I$4*Konstanten!$D$4))/(Massenstromrechnung!$F40*Konstanten!$K$3/3.6)+Massenstromrechnung!$K$3</f>
        <v>65</v>
      </c>
      <c r="I30" s="103">
        <f t="shared" si="1"/>
        <v>65</v>
      </c>
      <c r="J30" s="103">
        <f>-1*((Massenstromrechnung!$K$3+I30)/2-Massenstromrechnung!$K$4)^Konstanten!$E$4*Massenstromrechnung!$B40*Massenstromrechnung!$C40^Konstanten!$F$4*(Massenstromrechnung!$K$3-I30)^Konstanten!$G$4*((Massenstromrechnung!$K$3+I30)/2)^Konstanten!$H$4*(Konstanten!$C$4-((Massenstromrechnung!$K$3-I30)^Konstanten!$I$4*Konstanten!$D$4))/(Massenstromrechnung!$F40*Konstanten!$K$3/3.6)+Massenstromrechnung!$K$3</f>
        <v>65</v>
      </c>
      <c r="K30" s="103">
        <f t="shared" si="2"/>
        <v>65</v>
      </c>
      <c r="L30" s="103">
        <f>-1*((Massenstromrechnung!$K$3+K30)/2-Massenstromrechnung!$K$4)^Konstanten!$E$4*Massenstromrechnung!$B40*Massenstromrechnung!$C40^Konstanten!$F$4*(Massenstromrechnung!$K$3-K30)^Konstanten!$G$4*((Massenstromrechnung!$K$3+K30)/2)^Konstanten!$H$4*(Konstanten!$C$4-((Massenstromrechnung!$K$3-K30)^Konstanten!$I$4*Konstanten!$D$4))/(Massenstromrechnung!$F40*Konstanten!$K$3/3.6)+Massenstromrechnung!$K$3</f>
        <v>65</v>
      </c>
      <c r="N30">
        <f>'Katalogdaten M3G045'!B44</f>
        <v>2520</v>
      </c>
      <c r="O30" s="27">
        <v>495</v>
      </c>
      <c r="P30" s="103">
        <f>IF(Massenstromrechnung!$K$3-10&lt;=Massenstromrechnung!$K$4,Massenstromrechnung!$K$3-0.75*(Massenstromrechnung!$K$3-Massenstromrechnung!$K$4),Massenstromrechnung!$K$3-10)</f>
        <v>65</v>
      </c>
      <c r="Q30" s="103" t="e">
        <f>-1*((Massenstromrechnung!$K$3+P30)/2-Massenstromrechnung!$K$4)^Konstanten!$E$4*Massenstromrechnung!$B40*Massenstromrechnung!$C40^Konstanten!$F$4*(Massenstromrechnung!$K$3-P30)^Konstanten!$G$4*((Massenstromrechnung!$K$3+P30)/2)^Konstanten!$H$4*(Konstanten!$C$4-((Massenstromrechnung!$K$3-P30)^Konstanten!$I$4*Konstanten!$D$4))/(Massenstromrechnung!#REF!*Konstanten!$K$3/3.6)+Massenstromrechnung!$K$3</f>
        <v>#REF!</v>
      </c>
      <c r="R30" s="103" t="e">
        <f t="shared" si="7"/>
        <v>#REF!</v>
      </c>
      <c r="S30" s="103" t="e">
        <f>-1*((Massenstromrechnung!$K$3+R30)/2-Massenstromrechnung!$K$4)^Konstanten!$E$4*Massenstromrechnung!$B40*Massenstromrechnung!$C40^Konstanten!$F$4*(Massenstromrechnung!$K$3-R30)^Konstanten!$G$4*((Massenstromrechnung!$K$3+R30)/2)^Konstanten!$H$4*(Konstanten!$C$4-((Massenstromrechnung!$K$3-R30)^Konstanten!$I$4*Konstanten!$D$4))/(Massenstromrechnung!#REF!*Konstanten!$K$3/3.6)+Massenstromrechnung!$K$3</f>
        <v>#REF!</v>
      </c>
      <c r="T30" s="103" t="e">
        <f t="shared" si="3"/>
        <v>#REF!</v>
      </c>
      <c r="U30" s="103" t="e">
        <f>-1*((Massenstromrechnung!$K$3+T30)/2-Massenstromrechnung!$K$4)^Konstanten!$E$4*Massenstromrechnung!$B40*Massenstromrechnung!$C40^Konstanten!$F$4*(Massenstromrechnung!$K$3-T30)^Konstanten!$G$4*((Massenstromrechnung!$K$3+T30)/2)^Konstanten!$H$4*(Konstanten!$C$4-((Massenstromrechnung!$K$3-T30)^Konstanten!$I$4*Konstanten!$D$4))/(Massenstromrechnung!#REF!*Konstanten!$K$3/3.6)+Massenstromrechnung!$K$3</f>
        <v>#REF!</v>
      </c>
      <c r="V30" s="103" t="e">
        <f t="shared" si="4"/>
        <v>#REF!</v>
      </c>
      <c r="W30" s="103" t="e">
        <f>-1*((Massenstromrechnung!$K$3+V30)/2-Massenstromrechnung!$K$4)^Konstanten!$E$4*Massenstromrechnung!$B40*Massenstromrechnung!$C40^Konstanten!$F$4*(Massenstromrechnung!$K$3-V30)^Konstanten!$G$4*((Massenstromrechnung!$K$3+V30)/2)^Konstanten!$H$4*(Konstanten!$C$4-((Massenstromrechnung!$K$3-V30)^Konstanten!$I$4*Konstanten!$D$4))/(Massenstromrechnung!#REF!*Konstanten!$K$3/3.6)+Massenstromrechnung!$K$3</f>
        <v>#REF!</v>
      </c>
      <c r="X30" s="103" t="e">
        <f t="shared" si="5"/>
        <v>#REF!</v>
      </c>
      <c r="Y30" s="103" t="e">
        <f>-1*((Massenstromrechnung!$K$3+X30)/2-Massenstromrechnung!$K$4)^Konstanten!$E$4*Massenstromrechnung!$B40*Massenstromrechnung!$C40^Konstanten!$F$4*(Massenstromrechnung!$K$3-X30)^Konstanten!$G$4*((Massenstromrechnung!$K$3+X30)/2)^Konstanten!$H$4*(Konstanten!$C$4-((Massenstromrechnung!$K$3-X30)^Konstanten!$I$4*Konstanten!$D$4))/(Massenstromrechnung!#REF!*Konstanten!$K$3/3.6)+Massenstromrechnung!$K$3</f>
        <v>#REF!</v>
      </c>
      <c r="AA30">
        <f t="shared" si="8"/>
        <v>2520</v>
      </c>
      <c r="AB30">
        <f t="shared" si="8"/>
        <v>495</v>
      </c>
      <c r="AC30" s="103">
        <f>IF(Massenstromrechnung!$K$3-10&lt;=Massenstromrechnung!$K$4,Massenstromrechnung!$K$3-0.75*(Massenstromrechnung!$K$3-Massenstromrechnung!$K$4),Massenstromrechnung!$K$3-10)</f>
        <v>65</v>
      </c>
      <c r="AD30" s="103">
        <f>-1*((Massenstromrechnung!$K$3+AC30)/2-Massenstromrechnung!$K$4)^Konstanten!$E$5*$AA30*$AB30^Konstanten!$F$5*(Massenstromrechnung!$K$3-AC30)^Konstanten!$G$5*((Massenstromrechnung!$K$3+AC30)/2)^Konstanten!$H$5*(Konstanten!$C$5-((Massenstromrechnung!$K$3-AC30)^Konstanten!$I$5*Konstanten!$D$5))/(Massenstromrechnung!$L40*Konstanten!$K$3/3.6)+Massenstromrechnung!$K$3</f>
        <v>65</v>
      </c>
      <c r="AE30" s="103">
        <f>-1*((Massenstromrechnung!$K$3+AD30)/2-Massenstromrechnung!$K$4)^Konstanten!$E$5*$AA30*$AB30^Konstanten!$F$5*(Massenstromrechnung!$K$3-AD30)^Konstanten!$G$5*((Massenstromrechnung!$K$3+AD30)/2)^Konstanten!$H$5*(Konstanten!$C$5-((Massenstromrechnung!$K$3-AD30)^Konstanten!$I$5*Konstanten!$D$5))/(Massenstromrechnung!$L40*Konstanten!$K$3/3.6)+Massenstromrechnung!$K$3</f>
        <v>65</v>
      </c>
      <c r="AF30" s="103">
        <f>-1*((Massenstromrechnung!$K$3+AE30)/2-Massenstromrechnung!$K$4)^Konstanten!$E$5*$AA30*$AB30^Konstanten!$F$5*(Massenstromrechnung!$K$3-AE30)^Konstanten!$G$5*((Massenstromrechnung!$K$3+AE30)/2)^Konstanten!$H$5*(Konstanten!$C$5-((Massenstromrechnung!$K$3-AE30)^Konstanten!$I$5*Konstanten!$D$5))/(Massenstromrechnung!$L40*Konstanten!$K$3/3.6)+Massenstromrechnung!$K$3</f>
        <v>65</v>
      </c>
      <c r="AG30" s="103">
        <f>-1*((Massenstromrechnung!$K$3+AF30)/2-Massenstromrechnung!$K$4)^Konstanten!$E$5*$AA30*$AB30^Konstanten!$F$5*(Massenstromrechnung!$K$3-AF30)^Konstanten!$G$5*((Massenstromrechnung!$K$3+AF30)/2)^Konstanten!$H$5*(Konstanten!$C$5-((Massenstromrechnung!$K$3-AF30)^Konstanten!$I$5*Konstanten!$D$5))/(Massenstromrechnung!$L40*Konstanten!$K$3/3.6)+Massenstromrechnung!$K$3</f>
        <v>65</v>
      </c>
      <c r="AH30" s="103">
        <f>-1*((Massenstromrechnung!$K$3+AG30)/2-Massenstromrechnung!$K$4)^Konstanten!$E$5*$AA30*$AB30^Konstanten!$F$5*(Massenstromrechnung!$K$3-AG30)^Konstanten!$G$5*((Massenstromrechnung!$K$3+AG30)/2)^Konstanten!$H$5*(Konstanten!$C$5-((Massenstromrechnung!$K$3-AG30)^Konstanten!$I$5*Konstanten!$D$5))/(Massenstromrechnung!$L40*Konstanten!$K$3/3.6)+Massenstromrechnung!$K$3</f>
        <v>65</v>
      </c>
      <c r="AI30" s="103">
        <f>-1*((Massenstromrechnung!$K$3+AH30)/2-Massenstromrechnung!$K$4)^Konstanten!$E$5*$AA30*$AB30^Konstanten!$F$5*(Massenstromrechnung!$K$3-AH30)^Konstanten!$G$5*((Massenstromrechnung!$K$3+AH30)/2)^Konstanten!$H$5*(Konstanten!$C$5-((Massenstromrechnung!$K$3-AH30)^Konstanten!$I$5*Konstanten!$D$5))/(Massenstromrechnung!$L40*Konstanten!$K$3/3.6)+Massenstromrechnung!$K$3</f>
        <v>65</v>
      </c>
      <c r="AK30">
        <f t="shared" si="9"/>
        <v>2520</v>
      </c>
      <c r="AL30">
        <f t="shared" si="9"/>
        <v>495</v>
      </c>
      <c r="AM30" s="103">
        <f>Massenstromrechnung!$X$3+2</f>
        <v>9</v>
      </c>
      <c r="AN30" s="103" t="str">
        <f>IF(OR(Massenstromrechnung!$Y$6&lt;(AM30*50+Massenstromrechnung!$X$3)/51,(Massenstromrechnung!$Y$6-(AM30*51+Massenstromrechnung!$X$3)/51)&lt;0.7),"trocken","feucht")</f>
        <v>feucht</v>
      </c>
      <c r="AO30" s="104">
        <f>(Massenstromrechnung!$X$4-(Massenstromrechnung!$X$3+AM30)/2)^Konstanten!$E$6*$AK30*$AL30^Konstanten!$F$6*(AM30-Massenstromrechnung!$X$3)^Konstanten!$G$6*((Massenstromrechnung!$X$3+AM30)/2)^Konstanten!$H$6*(Konstanten!$C$6-(AM30-Massenstromrechnung!$X$3)^Konstanten!$I$6*Konstanten!$D$6)</f>
        <v>1413.2052081863101</v>
      </c>
      <c r="AP30" s="104">
        <f>IF(AN30="trocken",AO30,IF(Konstanten!$A$18*(Massenstromrechnung!$Y$6^Konstanten!$B$18*(Massenstromrechnung!$X$4-(Iteration!AM30+Massenstromrechnung!$X$3)/2)^Konstanten!$C$18*AO30^Konstanten!$D$18*((Massenstromrechnung!$X$3+Iteration!AM30)/2)^Konstanten!$E$18+(Iteration!AM30-Massenstromrechnung!$X$3)^Konstanten!$F$18)&lt;1,AO30,AO30*Konstanten!$A$18*(Massenstromrechnung!$Y$6^Konstanten!$B$18*(Massenstromrechnung!$X$4-(Iteration!AM30+Massenstromrechnung!$X$3)/2)^Konstanten!$C$18*AO30^Konstanten!$D$18*((Massenstromrechnung!$X$3+Iteration!AM30)/2)^Konstanten!$E$18+(Iteration!AM30-Massenstromrechnung!$X$3)^Konstanten!$F$18)))</f>
        <v>2094.5708502990888</v>
      </c>
      <c r="AQ30" s="101">
        <f>AP30/(Massenstromrechnung!$R40*Konstanten!$K$3/3.6)+Massenstromrechnung!$X$3</f>
        <v>13.21814120150222</v>
      </c>
      <c r="AR30" s="103" t="str">
        <f>IF(OR(Massenstromrechnung!$Y$6&lt;(AQ30*50+Massenstromrechnung!$X$3)/51,(Massenstromrechnung!$Y$6-(AQ30*51+Massenstromrechnung!$X$3)/51)&lt;0.7),"trocken","feucht")</f>
        <v>feucht</v>
      </c>
      <c r="AS30" s="104">
        <f>(Massenstromrechnung!$X$4-(Massenstromrechnung!$X$3+AQ30)/2)^Konstanten!$E$6*$AK30*$AL30^Konstanten!$F$6*(AQ30-Massenstromrechnung!$X$3)^Konstanten!$G$6*((Massenstromrechnung!$X$3+AQ30)/2)^Konstanten!$H$6*(Konstanten!$C$6-(AQ30-Massenstromrechnung!$X$3)^Konstanten!$I$6*Konstanten!$D$6)</f>
        <v>1180.6953743422614</v>
      </c>
      <c r="AT30" s="104">
        <f>IF(AR30="trocken",AS30,IF(Konstanten!$A$18*(Massenstromrechnung!$Y$6^Konstanten!$B$18*(Massenstromrechnung!$X$4-(Iteration!AQ30+Massenstromrechnung!$X$3)/2)^Konstanten!$C$18*AS30^Konstanten!$D$18*((Massenstromrechnung!$X$3+Iteration!AQ30)/2)^Konstanten!$E$18+(Iteration!AQ30-Massenstromrechnung!$X$3)^Konstanten!$F$18)&lt;1,AS30,AS30*Konstanten!$A$18*(Massenstromrechnung!$Y$6^Konstanten!$B$18*(Massenstromrechnung!$X$4-(Iteration!AQ30+Massenstromrechnung!$X$3)/2)^Konstanten!$C$18*AS30^Konstanten!$D$18*((Massenstromrechnung!$X$3+Iteration!AQ30)/2)^Konstanten!$E$18+(Iteration!AQ30-Massenstromrechnung!$X$3)^Konstanten!$F$18)))</f>
        <v>1547.9042024755729</v>
      </c>
      <c r="AU30" s="101">
        <f>AT30/(Massenstromrechnung!$R40*Konstanten!$K$3/3.6)+Massenstromrechnung!$X$3</f>
        <v>11.595254868565275</v>
      </c>
      <c r="AV30" s="103" t="str">
        <f>IF(OR(Massenstromrechnung!$Y$6&lt;(AU30*50+Massenstromrechnung!$X$3)/51,(Massenstromrechnung!$Y$6-(AU30*51+Massenstromrechnung!$X$3)/51)&lt;0.7),"trocken","feucht")</f>
        <v>feucht</v>
      </c>
      <c r="AW30" s="104">
        <f>(Massenstromrechnung!$X$4-(Massenstromrechnung!$X$3+AU30)/2)^Konstanten!$E$6*$AK30*$AL30^Konstanten!$F$6*(AU30-Massenstromrechnung!$X$3)^Konstanten!$G$6*((Massenstromrechnung!$X$3+AU30)/2)^Konstanten!$H$6*(Konstanten!$C$6-(AU30-Massenstromrechnung!$X$3)^Konstanten!$I$6*Konstanten!$D$6)</f>
        <v>1274.6738576381726</v>
      </c>
      <c r="AX30" s="104">
        <f>IF(AV30="trocken",AW30,IF(Konstanten!$A$18*(Massenstromrechnung!$Y$6^Konstanten!$B$18*(Massenstromrechnung!$X$4-(Iteration!AU30+Massenstromrechnung!$X$3)/2)^Konstanten!$C$18*AW30^Konstanten!$D$18*((Massenstromrechnung!$X$3+Iteration!AU30)/2)^Konstanten!$E$18+(Iteration!AU30-Massenstromrechnung!$X$3)^Konstanten!$F$18)&lt;1,AW30,AW30*Konstanten!$A$18*(Massenstromrechnung!$Y$6^Konstanten!$B$18*(Massenstromrechnung!$X$4-(Iteration!AU30+Massenstromrechnung!$X$3)/2)^Konstanten!$C$18*AW30^Konstanten!$D$18*((Massenstromrechnung!$X$3+Iteration!AU30)/2)^Konstanten!$E$18+(Iteration!AU30-Massenstromrechnung!$X$3)^Konstanten!$F$18)))</f>
        <v>1734.0088804793941</v>
      </c>
      <c r="AY30" s="101">
        <f>AX30/(Massenstromrechnung!$R40*Konstanten!$K$3/3.6)+Massenstromrechnung!$X$3</f>
        <v>12.14774282375792</v>
      </c>
      <c r="AZ30" s="103" t="str">
        <f>IF(OR(Massenstromrechnung!$Y$6&lt;(AY30*50+Massenstromrechnung!$X$3)/51,(Massenstromrechnung!$Y$6-(AY30*51+Massenstromrechnung!$X$3)/51)&lt;0.7),"trocken","feucht")</f>
        <v>feucht</v>
      </c>
      <c r="BA30" s="104">
        <f>(Massenstromrechnung!$X$4-(Massenstromrechnung!$X$3+AY30)/2)^Konstanten!$E$6*$AK30*$AL30^Konstanten!$F$6*(AY30-Massenstromrechnung!$X$3)^Konstanten!$G$6*((Massenstromrechnung!$X$3+AY30)/2)^Konstanten!$H$6*(Konstanten!$C$6-(AY30-Massenstromrechnung!$X$3)^Konstanten!$I$6*Konstanten!$D$6)</f>
        <v>1241.7634475277828</v>
      </c>
      <c r="BB30" s="104">
        <f>IF(AZ30="trocken",BA30,IF(Konstanten!$A$18*(Massenstromrechnung!$Y$6^Konstanten!$B$18*(Massenstromrechnung!$X$4-(Iteration!AY30+Massenstromrechnung!$X$3)/2)^Konstanten!$C$18*BA30^Konstanten!$D$18*((Massenstromrechnung!$X$3+Iteration!AY30)/2)^Konstanten!$E$18+(Iteration!AY30-Massenstromrechnung!$X$3)^Konstanten!$F$18)&lt;1,BA30,BA30*Konstanten!$A$18*(Massenstromrechnung!$Y$6^Konstanten!$B$18*(Massenstromrechnung!$X$4-(Iteration!AY30+Massenstromrechnung!$X$3)/2)^Konstanten!$C$18*BA30^Konstanten!$D$18*((Massenstromrechnung!$X$3+Iteration!AY30)/2)^Konstanten!$E$18+(Iteration!AY30-Massenstromrechnung!$X$3)^Konstanten!$F$18)))</f>
        <v>1666.6582137036394</v>
      </c>
      <c r="BC30" s="101">
        <f>BB30/(Massenstromrechnung!$R40*Konstanten!$K$3/3.6)+Massenstromrechnung!$X$3</f>
        <v>11.947799262065001</v>
      </c>
      <c r="BD30" s="103" t="str">
        <f>IF(OR(Massenstromrechnung!$Y$6&lt;(BC30*50+Massenstromrechnung!$X$3)/51,(Massenstromrechnung!$Y$6-(BC30*51+Massenstromrechnung!$X$3)/51)&lt;0.7),"trocken","feucht")</f>
        <v>feucht</v>
      </c>
      <c r="BE30" s="104">
        <f>(Massenstromrechnung!$X$4-(Massenstromrechnung!$X$3+BC30)/2)^Konstanten!$E$6*$AK30*$AL30^Konstanten!$F$6*(BC30-Massenstromrechnung!$X$3)^Konstanten!$G$6*((Massenstromrechnung!$X$3+BC30)/2)^Konstanten!$H$6*(Konstanten!$C$6-(BC30-Massenstromrechnung!$X$3)^Konstanten!$I$6*Konstanten!$D$6)</f>
        <v>1253.5760320714094</v>
      </c>
      <c r="BF30" s="104">
        <f>IF(BD30="trocken",BE30,IF(Konstanten!$A$18*(Massenstromrechnung!$Y$6^Konstanten!$B$18*(Massenstromrechnung!$X$4-(Iteration!BC30+Massenstromrechnung!$X$3)/2)^Konstanten!$C$18*BE30^Konstanten!$D$18*((Massenstromrechnung!$X$3+Iteration!BC30)/2)^Konstanten!$E$18+(Iteration!BC30-Massenstromrechnung!$X$3)^Konstanten!$F$18)&lt;1,BE30,BE30*Konstanten!$A$18*(Massenstromrechnung!$Y$6^Konstanten!$B$18*(Massenstromrechnung!$X$4-(Iteration!BC30+Massenstromrechnung!$X$3)/2)^Konstanten!$C$18*BE30^Konstanten!$D$18*((Massenstromrechnung!$X$3+Iteration!BC30)/2)^Konstanten!$E$18+(Iteration!BC30-Massenstromrechnung!$X$3)^Konstanten!$F$18)))</f>
        <v>1690.5281455754532</v>
      </c>
      <c r="BG30" s="101">
        <f>BF30/(Massenstromrechnung!$R40*Konstanten!$K$3/3.6)+Massenstromrechnung!$X$3</f>
        <v>12.01866180024459</v>
      </c>
      <c r="BH30" s="103" t="str">
        <f>IF(OR(Massenstromrechnung!$Y$6&lt;(BG30*50+Massenstromrechnung!$X$3)/51,(Massenstromrechnung!$Y$6-(BG30*51+Massenstromrechnung!$X$3)/51)&lt;0.7),"trocken","feucht")</f>
        <v>feucht</v>
      </c>
      <c r="BI30" s="104">
        <f>(Massenstromrechnung!$X$4-(Massenstromrechnung!$X$3+BG30)/2)^Konstanten!$E$6*$AK30*$AL30^Konstanten!$F$6*(BG30-Massenstromrechnung!$X$3)^Konstanten!$G$6*((Massenstromrechnung!$X$3+BG30)/2)^Konstanten!$H$6*(Konstanten!$C$6-(BG30-Massenstromrechnung!$X$3)^Konstanten!$I$6*Konstanten!$D$6)</f>
        <v>1249.3760084071362</v>
      </c>
      <c r="BJ30" s="104">
        <f>IF(BH30="trocken",BI30,IF(Konstanten!$A$18*(Massenstromrechnung!$Y$6^Konstanten!$B$18*(Massenstromrechnung!$X$4-(Iteration!BG30+Massenstromrechnung!$X$3)/2)^Konstanten!$C$18*BI30^Konstanten!$D$18*((Massenstromrechnung!$X$3+Iteration!BG30)/2)^Konstanten!$E$18+(Iteration!BG30-Massenstromrechnung!$X$3)^Konstanten!$F$18)&lt;1,BI30,BI30*Konstanten!$A$18*(Massenstromrechnung!$Y$6^Konstanten!$B$18*(Massenstromrechnung!$X$4-(Iteration!BG30+Massenstromrechnung!$X$3)/2)^Konstanten!$C$18*BI30^Konstanten!$D$18*((Massenstromrechnung!$X$3+Iteration!BG30)/2)^Konstanten!$E$18+(Iteration!BG30-Massenstromrechnung!$X$3)^Konstanten!$F$18)))</f>
        <v>1682.0039891704316</v>
      </c>
      <c r="BK30" s="101">
        <f>IF(BJ30/(Massenstromrechnung!$R40*Konstanten!$K$3/3.6)+Massenstromrechnung!$X$3-Massenstromrechnung!$X$3&lt;1.4,"RLT zu niedrig",BJ30/(Massenstromrechnung!$R40*Konstanten!$K$3/3.6)+Massenstromrechnung!$X$3)</f>
        <v>11.993356183037829</v>
      </c>
      <c r="BL30" s="103" t="str">
        <f>IF(BK30="RLT zu niedrig","RLT zu niedrig",IF(OR(Massenstromrechnung!$Y$6&lt;(BK30*50+Massenstromrechnung!$X$3)/51,(Massenstromrechnung!$Y$6-(BK30*51+Massenstromrechnung!$X$3)/51)&lt;0.7),"trocken","feucht"))</f>
        <v>feucht</v>
      </c>
      <c r="BM30" s="104">
        <f>IF(BK30="RLT zu niedrig","RLT zu niedrig",(Massenstromrechnung!$X$4-(Massenstromrechnung!$X$3+BK30)/2)^Konstanten!$E$6*$AK30*$AL30^Konstanten!$F$6*(BK30-Massenstromrechnung!$X$3)^Konstanten!$G$6*((Massenstromrechnung!$X$3+BK30)/2)^Konstanten!$H$6*(Konstanten!$C$6-(BK30-Massenstromrechnung!$X$3)^Konstanten!$I$6*Konstanten!$D$6))</f>
        <v>1250.8742035888206</v>
      </c>
      <c r="BN30" s="104">
        <f>IF(BK30="RLT zu niedrig","RLT zu niedrig",IF(BL30="trocken",BM30,IF(Konstanten!$A$18*(Massenstromrechnung!$Y$6^Konstanten!$B$18*(Massenstromrechnung!$X$4-(Iteration!BK30+Massenstromrechnung!$X$3)/2)^Konstanten!$C$18*BM30^Konstanten!$D$18*((Massenstromrechnung!$X$3+Iteration!BK30)/2)^Konstanten!$E$18+(Iteration!BK30-Massenstromrechnung!$X$3)^Konstanten!$F$18)&lt;1,BM30,BM30*Konstanten!$A$18*(Massenstromrechnung!$Y$6^Konstanten!$B$18*(Massenstromrechnung!$X$4-(Iteration!BK30+Massenstromrechnung!$X$3)/2)^Konstanten!$C$18*BM30^Konstanten!$D$18*((Massenstromrechnung!$X$3+Iteration!BK30)/2)^Konstanten!$E$18+(Iteration!BK30-Massenstromrechnung!$X$3)^Konstanten!$F$18))))</f>
        <v>1685.0398754357643</v>
      </c>
      <c r="BO30" s="101"/>
      <c r="BP30">
        <f t="shared" si="10"/>
        <v>2520</v>
      </c>
      <c r="BQ30">
        <f t="shared" si="10"/>
        <v>495</v>
      </c>
      <c r="BR30" s="103">
        <f>Massenstromrechnung!$X$3+2</f>
        <v>9</v>
      </c>
      <c r="BS30" s="103" t="str">
        <f>IF(OR(Massenstromrechnung!$Y$6&lt;(BR30*50+Massenstromrechnung!$X$3)/51,(Massenstromrechnung!$Y$6-(BR30*51+Massenstromrechnung!$X$3)/51)&lt;0.7),"trocken","feucht")</f>
        <v>feucht</v>
      </c>
      <c r="BT30" s="104">
        <f>(Massenstromrechnung!$X$4-(Massenstromrechnung!$X$3+BR30)/2)^Konstanten!$E$7*$AK30*$AL30^Konstanten!$F$7*(BR30-Massenstromrechnung!$X$3)^Konstanten!$G$7*((Massenstromrechnung!$X$3+BR30)/2)^Konstanten!$H$7*(Konstanten!$C$7-(BR30-Massenstromrechnung!$X$3)^Konstanten!$I$7*Konstanten!$D$7)</f>
        <v>1558.0064054378433</v>
      </c>
      <c r="BU30" s="104">
        <f>IF(BS30="trocken",BT30,IF(Konstanten!$A$18*(Massenstromrechnung!$Y$6^Konstanten!$B$18*(Massenstromrechnung!$X$4-(Iteration!BR30+Massenstromrechnung!$X$3)/2)^Konstanten!$C$18*BT30^Konstanten!$D$18*((Massenstromrechnung!$X$3+Iteration!BR30)/2)^Konstanten!$E$18+(Iteration!BR30-Massenstromrechnung!$X$3)^Konstanten!$F$18)&lt;1,BT30,BT30*Konstanten!$A$18*(Massenstromrechnung!$Y$6^Konstanten!$B$18*(Massenstromrechnung!$X$4-(Iteration!BR30+Massenstromrechnung!$X$3)/2)^Konstanten!$C$18*BT30^Konstanten!$D$18*((Massenstromrechnung!$X$3+Iteration!BR30)/2)^Konstanten!$E$18+(Iteration!BR30-Massenstromrechnung!$X$3)^Konstanten!$F$18)))</f>
        <v>2302.6792285526089</v>
      </c>
      <c r="BV30" s="101">
        <f>BU30/(Massenstromrechnung!$AA40*Konstanten!$K$3/3.6)+Massenstromrechnung!$X$3</f>
        <v>13.896103171600497</v>
      </c>
      <c r="BW30" s="103" t="str">
        <f>IF(OR(Massenstromrechnung!$Y$6&lt;(BV30*50+Massenstromrechnung!$X$3)/51,(Massenstromrechnung!$Y$6-(BV30*51+Massenstromrechnung!$X$3)/51)&lt;0.7),"trocken","feucht")</f>
        <v>feucht</v>
      </c>
      <c r="BX30" s="104">
        <f>(Massenstromrechnung!$X$4-(Massenstromrechnung!$X$3+BV30)/2)^Konstanten!$E$7*$AK30*$AL30^Konstanten!$F$7*(BV30-Massenstromrechnung!$X$3)^Konstanten!$G$7*((Massenstromrechnung!$X$3+BV30)/2)^Konstanten!$H$7*(Konstanten!$C$7-(BV30-Massenstromrechnung!$X$3)^Konstanten!$I$7*Konstanten!$D$7)</f>
        <v>1113.6438008273933</v>
      </c>
      <c r="BY30" s="104">
        <f>IF(BW30="trocken",BX30,IF(Konstanten!$A$18*(Massenstromrechnung!$Y$6^Konstanten!$B$18*(Massenstromrechnung!$X$4-(Iteration!BV30+Massenstromrechnung!$X$3)/2)^Konstanten!$C$18*BX30^Konstanten!$D$18*((Massenstromrechnung!$X$3+Iteration!BV30)/2)^Konstanten!$E$18+(Iteration!BV30-Massenstromrechnung!$X$3)^Konstanten!$F$18)&lt;1,BX30,BX30*Konstanten!$A$18*(Massenstromrechnung!$Y$6^Konstanten!$B$18*(Massenstromrechnung!$X$4-(Iteration!BV30+Massenstromrechnung!$X$3)/2)^Konstanten!$C$18*BX30^Konstanten!$D$18*((Massenstromrechnung!$X$3+Iteration!BV30)/2)^Konstanten!$E$18+(Iteration!BV30-Massenstromrechnung!$X$3)^Konstanten!$F$18)))</f>
        <v>1441.7093639824691</v>
      </c>
      <c r="BZ30" s="101">
        <f>BY30/(Massenstromrechnung!$AA40*Konstanten!$K$3/3.6)+Massenstromrechnung!$X$3</f>
        <v>11.317655882853895</v>
      </c>
      <c r="CA30" s="103" t="str">
        <f>IF(OR(Massenstromrechnung!$Y$6&lt;(BZ30*50+Massenstromrechnung!$X$3)/51,(Massenstromrechnung!$Y$6-(BZ30*51+Massenstromrechnung!$X$3)/51)&lt;0.7),"trocken","feucht")</f>
        <v>feucht</v>
      </c>
      <c r="CB30" s="104">
        <f>(Massenstromrechnung!$X$4-(Massenstromrechnung!$X$3+BZ30)/2)^Konstanten!$E$7*$AK30*$AL30^Konstanten!$F$7*(BZ30-Massenstromrechnung!$X$3)^Konstanten!$G$7*((Massenstromrechnung!$X$3+BZ30)/2)^Konstanten!$H$7*(Konstanten!$C$7-(BZ30-Massenstromrechnung!$X$3)^Konstanten!$I$7*Konstanten!$D$7)</f>
        <v>1293.3343746835378</v>
      </c>
      <c r="CC30" s="104">
        <f>IF(CA30="trocken",CB30,IF(Konstanten!$A$18*(Massenstromrechnung!$Y$6^Konstanten!$B$18*(Massenstromrechnung!$X$4-(Iteration!BZ30+Massenstromrechnung!$X$3)/2)^Konstanten!$C$18*CB30^Konstanten!$D$18*((Massenstromrechnung!$X$3+Iteration!BZ30)/2)^Konstanten!$E$18+(Iteration!BZ30-Massenstromrechnung!$X$3)^Konstanten!$F$18)&lt;1,CB30,CB30*Konstanten!$A$18*(Massenstromrechnung!$Y$6^Konstanten!$B$18*(Massenstromrechnung!$X$4-(Iteration!BZ30+Massenstromrechnung!$X$3)/2)^Konstanten!$C$18*CB30^Konstanten!$D$18*((Massenstromrechnung!$X$3+Iteration!BZ30)/2)^Konstanten!$E$18+(Iteration!BZ30-Massenstromrechnung!$X$3)^Konstanten!$F$18)))</f>
        <v>1771.9866977759114</v>
      </c>
      <c r="CD30" s="101">
        <f>CC30/(Massenstromrechnung!$AA40*Konstanten!$K$3/3.6)+Massenstromrechnung!$X$3</f>
        <v>12.306776095881725</v>
      </c>
      <c r="CE30" s="103" t="str">
        <f>IF(OR(Massenstromrechnung!$Y$6&lt;(CD30*50+Massenstromrechnung!$X$3)/51,(Massenstromrechnung!$Y$6-(CD30*51+Massenstromrechnung!$X$3)/51)&lt;0.7),"trocken","feucht")</f>
        <v>feucht</v>
      </c>
      <c r="CF30" s="104">
        <f>(Massenstromrechnung!$X$4-(Massenstromrechnung!$X$3+CD30)/2)^Konstanten!$E$7*$AK30*$AL30^Konstanten!$F$7*(CD30-Massenstromrechnung!$X$3)^Konstanten!$G$7*((Massenstromrechnung!$X$3+CD30)/2)^Konstanten!$H$7*(Konstanten!$C$7-(CD30-Massenstromrechnung!$X$3)^Konstanten!$I$7*Konstanten!$D$7)</f>
        <v>1216.7726025794586</v>
      </c>
      <c r="CG30" s="104">
        <f>IF(CE30="trocken",CF30,IF(Konstanten!$A$18*(Massenstromrechnung!$Y$6^Konstanten!$B$18*(Massenstromrechnung!$X$4-(Iteration!CD30+Massenstromrechnung!$X$3)/2)^Konstanten!$C$18*CF30^Konstanten!$D$18*((Massenstromrechnung!$X$3+Iteration!CD30)/2)^Konstanten!$E$18+(Iteration!CD30-Massenstromrechnung!$X$3)^Konstanten!$F$18)&lt;1,CF30,CF30*Konstanten!$A$18*(Massenstromrechnung!$Y$6^Konstanten!$B$18*(Massenstromrechnung!$X$4-(Iteration!CD30+Massenstromrechnung!$X$3)/2)^Konstanten!$C$18*CF30^Konstanten!$D$18*((Massenstromrechnung!$X$3+Iteration!CD30)/2)^Konstanten!$E$18+(Iteration!CD30-Massenstromrechnung!$X$3)^Konstanten!$F$18)))</f>
        <v>1627.7197939144378</v>
      </c>
      <c r="CH30" s="101">
        <f>CG30/(Massenstromrechnung!$AA40*Konstanten!$K$3/3.6)+Massenstromrechnung!$X$3</f>
        <v>11.874723102594665</v>
      </c>
      <c r="CI30" s="103" t="str">
        <f>IF(OR(Massenstromrechnung!$Y$6&lt;(CH30*50+Massenstromrechnung!$X$3)/51,(Massenstromrechnung!$Y$6-(CH30*51+Massenstromrechnung!$X$3)/51)&lt;0.7),"trocken","feucht")</f>
        <v>feucht</v>
      </c>
      <c r="CJ30" s="104">
        <f>(Massenstromrechnung!$X$4-(Massenstromrechnung!$X$3+CH30)/2)^Konstanten!$E$7*$AK30*$AL30^Konstanten!$F$7*(CH30-Massenstromrechnung!$X$3)^Konstanten!$G$7*((Massenstromrechnung!$X$3+CH30)/2)^Konstanten!$H$7*(Konstanten!$C$7-(CH30-Massenstromrechnung!$X$3)^Konstanten!$I$7*Konstanten!$D$7)</f>
        <v>1248.7193293278701</v>
      </c>
      <c r="CK30" s="104">
        <f>IF(CI30="trocken",CJ30,IF(Konstanten!$A$18*(Massenstromrechnung!$Y$6^Konstanten!$B$18*(Massenstromrechnung!$X$4-(Iteration!CH30+Massenstromrechnung!$X$3)/2)^Konstanten!$C$18*CJ30^Konstanten!$D$18*((Massenstromrechnung!$X$3+Iteration!CH30)/2)^Konstanten!$E$18+(Iteration!CH30-Massenstromrechnung!$X$3)^Konstanten!$F$18)&lt;1,CJ30,CJ30*Konstanten!$A$18*(Massenstromrechnung!$Y$6^Konstanten!$B$18*(Massenstromrechnung!$X$4-(Iteration!CH30+Massenstromrechnung!$X$3)/2)^Konstanten!$C$18*CJ30^Konstanten!$D$18*((Massenstromrechnung!$X$3+Iteration!CH30)/2)^Konstanten!$E$18+(Iteration!CH30-Massenstromrechnung!$X$3)^Konstanten!$F$18)))</f>
        <v>1687.3293006589799</v>
      </c>
      <c r="CL30" s="101">
        <f>CK30/(Massenstromrechnung!$AA40*Konstanten!$K$3/3.6)+Massenstromrechnung!$X$3</f>
        <v>12.053242673806052</v>
      </c>
      <c r="CM30" s="103" t="str">
        <f>IF(OR(Massenstromrechnung!$Y$6&lt;(CL30*50+Massenstromrechnung!$X$3)/51,(Massenstromrechnung!$Y$6-(CL30*51+Massenstromrechnung!$X$3)/51)&lt;0.7),"trocken","feucht")</f>
        <v>feucht</v>
      </c>
      <c r="CN30" s="104">
        <f>(Massenstromrechnung!$X$4-(Massenstromrechnung!$X$3+CL30)/2)^Konstanten!$E$7*$AK30*$AL30^Konstanten!$F$7*(CL30-Massenstromrechnung!$X$3)^Konstanten!$G$7*((Massenstromrechnung!$X$3+CL30)/2)^Konstanten!$H$7*(Konstanten!$C$7-(CL30-Massenstromrechnung!$X$3)^Konstanten!$I$7*Konstanten!$D$7)</f>
        <v>1235.2667338912677</v>
      </c>
      <c r="CO30" s="104">
        <f>IF(CM30="trocken",CN30,IF(Konstanten!$A$18*(Massenstromrechnung!$Y$6^Konstanten!$B$18*(Massenstromrechnung!$X$4-(Iteration!CL30+Massenstromrechnung!$X$3)/2)^Konstanten!$C$18*CN30^Konstanten!$D$18*((Massenstromrechnung!$X$3+Iteration!CL30)/2)^Konstanten!$E$18+(Iteration!CL30-Massenstromrechnung!$X$3)^Konstanten!$F$18)&lt;1,CN30,CN30*Konstanten!$A$18*(Massenstromrechnung!$Y$6^Konstanten!$B$18*(Massenstromrechnung!$X$4-(Iteration!CL30+Massenstromrechnung!$X$3)/2)^Konstanten!$C$18*CN30^Konstanten!$D$18*((Massenstromrechnung!$X$3+Iteration!CL30)/2)^Konstanten!$E$18+(Iteration!CL30-Massenstromrechnung!$X$3)^Konstanten!$F$18)))</f>
        <v>1662.1215184851903</v>
      </c>
      <c r="CP30" s="101">
        <f>IF(CO30/(Massenstromrechnung!$AA40*Konstanten!$K$3/3.6)+Massenstromrechnung!$X$3-Massenstromrechnung!$X$3&lt;1.4,"RLT zu niedrig",CO30/(Massenstromrechnung!$AA40*Konstanten!$K$3/3.6)+Massenstromrechnung!$X$3)</f>
        <v>11.977749976237858</v>
      </c>
      <c r="CQ30" s="103" t="str">
        <f>IF(CP30="RLT zu niedrig","RLT zu niedrig",IF(OR(Massenstromrechnung!$Y$6&lt;(CP30*50+Massenstromrechnung!$X$3)/51,(Massenstromrechnung!$Y$6-(CP30*51+Massenstromrechnung!$X$3)/51)&lt;0.7),"trocken","feucht"))</f>
        <v>feucht</v>
      </c>
      <c r="CR30" s="104">
        <f>IF(CP30="RLT zu niedrig","RLT zu niedrig",(Massenstromrechnung!$X$4-(Massenstromrechnung!$X$3+CP30)/2)^Konstanten!$E$7*$AK30*$AL30^Konstanten!$F$7*(CP30-Massenstromrechnung!$X$3)^Konstanten!$G$7*((Massenstromrechnung!$X$3+CP30)/2)^Konstanten!$H$7*(Konstanten!$C$7-(CP30-Massenstromrechnung!$X$3)^Konstanten!$I$7*Konstanten!$D$7))</f>
        <v>1240.9102125590844</v>
      </c>
      <c r="CS30" s="104">
        <f>IF(CP30="RLT zu niedrig","RLT zu niedrig",IF(CQ30="trocken",CR30,IF(Konstanten!$A$18*(Massenstromrechnung!$Y$6^Konstanten!$B$18*(Massenstromrechnung!$X$4-(Iteration!CP30+Massenstromrechnung!$X$3)/2)^Konstanten!$C$18*CR30^Konstanten!$D$18*((Massenstromrechnung!$X$3+Iteration!CP30)/2)^Konstanten!$E$18+(Iteration!CP30-Massenstromrechnung!$X$3)^Konstanten!$F$18)&lt;1,CR30,CR30*Konstanten!$A$18*(Massenstromrechnung!$Y$6^Konstanten!$B$18*(Massenstromrechnung!$X$4-(Iteration!CP30+Massenstromrechnung!$X$3)/2)^Konstanten!$C$18*CR30^Konstanten!$D$18*((Massenstromrechnung!$X$3+Iteration!CP30)/2)^Konstanten!$E$18+(Iteration!CP30-Massenstromrechnung!$X$3)^Konstanten!$F$18))))</f>
        <v>1672.6778132280638</v>
      </c>
    </row>
    <row r="31" spans="1:97" x14ac:dyDescent="0.3">
      <c r="A31">
        <f>Massenstromrechnung!B41</f>
        <v>2520</v>
      </c>
      <c r="B31" s="78">
        <v>315</v>
      </c>
      <c r="C31" s="103">
        <f>IF(Massenstromrechnung!$K$3-10&lt;=Massenstromrechnung!$K$4,Massenstromrechnung!$K$3-0.75*(Massenstromrechnung!$K$3-Massenstromrechnung!$K$4),Massenstromrechnung!$K$3-10)</f>
        <v>65</v>
      </c>
      <c r="D31" s="103">
        <f>-1*((Massenstromrechnung!$K$3+C31)/2-Massenstromrechnung!$K$4)^Konstanten!$E$4*Massenstromrechnung!$B41*Massenstromrechnung!$C41^Konstanten!$F$4*(Massenstromrechnung!$K$3-C31)^Konstanten!$G$4*((Massenstromrechnung!$K$3+C31)/2)^Konstanten!$H$4*(Konstanten!$C$4-((Massenstromrechnung!$K$3-C31)^Konstanten!$I$4*Konstanten!$D$4))/(Massenstromrechnung!$F41*Konstanten!$K$3/3.6)+Massenstromrechnung!$K$3</f>
        <v>65</v>
      </c>
      <c r="E31" s="103">
        <f t="shared" si="6"/>
        <v>65</v>
      </c>
      <c r="F31" s="103">
        <f>-1*((Massenstromrechnung!$K$3+E31)/2-Massenstromrechnung!$K$4)^Konstanten!$E$4*Massenstromrechnung!$B41*Massenstromrechnung!$C41^Konstanten!$F$4*(Massenstromrechnung!$K$3-E31)^Konstanten!$G$4*((Massenstromrechnung!$K$3+E31)/2)^Konstanten!$H$4*(Konstanten!$C$4-((Massenstromrechnung!$K$3-E31)^Konstanten!$I$4*Konstanten!$D$4))/(Massenstromrechnung!$F41*Konstanten!$K$3/3.6)+Massenstromrechnung!$K$3</f>
        <v>65</v>
      </c>
      <c r="G31" s="103">
        <f t="shared" si="0"/>
        <v>65</v>
      </c>
      <c r="H31" s="103">
        <f>-1*((Massenstromrechnung!$K$3+G31)/2-Massenstromrechnung!$K$4)^Konstanten!$E$4*Massenstromrechnung!$B41*Massenstromrechnung!$C41^Konstanten!$F$4*(Massenstromrechnung!$K$3-G31)^Konstanten!$G$4*((Massenstromrechnung!$K$3+G31)/2)^Konstanten!$H$4*(Konstanten!$C$4-((Massenstromrechnung!$K$3-G31)^Konstanten!$I$4*Konstanten!$D$4))/(Massenstromrechnung!$F41*Konstanten!$K$3/3.6)+Massenstromrechnung!$K$3</f>
        <v>65</v>
      </c>
      <c r="I31" s="103">
        <f t="shared" si="1"/>
        <v>65</v>
      </c>
      <c r="J31" s="103">
        <f>-1*((Massenstromrechnung!$K$3+I31)/2-Massenstromrechnung!$K$4)^Konstanten!$E$4*Massenstromrechnung!$B41*Massenstromrechnung!$C41^Konstanten!$F$4*(Massenstromrechnung!$K$3-I31)^Konstanten!$G$4*((Massenstromrechnung!$K$3+I31)/2)^Konstanten!$H$4*(Konstanten!$C$4-((Massenstromrechnung!$K$3-I31)^Konstanten!$I$4*Konstanten!$D$4))/(Massenstromrechnung!$F41*Konstanten!$K$3/3.6)+Massenstromrechnung!$K$3</f>
        <v>65</v>
      </c>
      <c r="K31" s="103">
        <f t="shared" si="2"/>
        <v>65</v>
      </c>
      <c r="L31" s="103">
        <f>-1*((Massenstromrechnung!$K$3+K31)/2-Massenstromrechnung!$K$4)^Konstanten!$E$4*Massenstromrechnung!$B41*Massenstromrechnung!$C41^Konstanten!$F$4*(Massenstromrechnung!$K$3-K31)^Konstanten!$G$4*((Massenstromrechnung!$K$3+K31)/2)^Konstanten!$H$4*(Konstanten!$C$4-((Massenstromrechnung!$K$3-K31)^Konstanten!$I$4*Konstanten!$D$4))/(Massenstromrechnung!$F41*Konstanten!$K$3/3.6)+Massenstromrechnung!$K$3</f>
        <v>65</v>
      </c>
      <c r="N31">
        <f>'Katalogdaten M3G045'!B45</f>
        <v>2520</v>
      </c>
      <c r="O31" s="78">
        <v>315</v>
      </c>
      <c r="P31" s="103">
        <f>IF(Massenstromrechnung!$K$3-10&lt;=Massenstromrechnung!$K$4,Massenstromrechnung!$K$3-0.75*(Massenstromrechnung!$K$3-Massenstromrechnung!$K$4),Massenstromrechnung!$K$3-10)</f>
        <v>65</v>
      </c>
      <c r="Q31" s="103" t="e">
        <f>-1*((Massenstromrechnung!$K$3+P31)/2-Massenstromrechnung!$K$4)^Konstanten!$E$4*Massenstromrechnung!$B41*Massenstromrechnung!$C41^Konstanten!$F$4*(Massenstromrechnung!$K$3-P31)^Konstanten!$G$4*((Massenstromrechnung!$K$3+P31)/2)^Konstanten!$H$4*(Konstanten!$C$4-((Massenstromrechnung!$K$3-P31)^Konstanten!$I$4*Konstanten!$D$4))/(Massenstromrechnung!#REF!*Konstanten!$K$3/3.6)+Massenstromrechnung!$K$3</f>
        <v>#REF!</v>
      </c>
      <c r="R31" s="103" t="e">
        <f t="shared" si="7"/>
        <v>#REF!</v>
      </c>
      <c r="S31" s="103" t="e">
        <f>-1*((Massenstromrechnung!$K$3+R31)/2-Massenstromrechnung!$K$4)^Konstanten!$E$4*Massenstromrechnung!$B41*Massenstromrechnung!$C41^Konstanten!$F$4*(Massenstromrechnung!$K$3-R31)^Konstanten!$G$4*((Massenstromrechnung!$K$3+R31)/2)^Konstanten!$H$4*(Konstanten!$C$4-((Massenstromrechnung!$K$3-R31)^Konstanten!$I$4*Konstanten!$D$4))/(Massenstromrechnung!#REF!*Konstanten!$K$3/3.6)+Massenstromrechnung!$K$3</f>
        <v>#REF!</v>
      </c>
      <c r="T31" s="103" t="e">
        <f t="shared" si="3"/>
        <v>#REF!</v>
      </c>
      <c r="U31" s="103" t="e">
        <f>-1*((Massenstromrechnung!$K$3+T31)/2-Massenstromrechnung!$K$4)^Konstanten!$E$4*Massenstromrechnung!$B41*Massenstromrechnung!$C41^Konstanten!$F$4*(Massenstromrechnung!$K$3-T31)^Konstanten!$G$4*((Massenstromrechnung!$K$3+T31)/2)^Konstanten!$H$4*(Konstanten!$C$4-((Massenstromrechnung!$K$3-T31)^Konstanten!$I$4*Konstanten!$D$4))/(Massenstromrechnung!#REF!*Konstanten!$K$3/3.6)+Massenstromrechnung!$K$3</f>
        <v>#REF!</v>
      </c>
      <c r="V31" s="103" t="e">
        <f t="shared" si="4"/>
        <v>#REF!</v>
      </c>
      <c r="W31" s="103" t="e">
        <f>-1*((Massenstromrechnung!$K$3+V31)/2-Massenstromrechnung!$K$4)^Konstanten!$E$4*Massenstromrechnung!$B41*Massenstromrechnung!$C41^Konstanten!$F$4*(Massenstromrechnung!$K$3-V31)^Konstanten!$G$4*((Massenstromrechnung!$K$3+V31)/2)^Konstanten!$H$4*(Konstanten!$C$4-((Massenstromrechnung!$K$3-V31)^Konstanten!$I$4*Konstanten!$D$4))/(Massenstromrechnung!#REF!*Konstanten!$K$3/3.6)+Massenstromrechnung!$K$3</f>
        <v>#REF!</v>
      </c>
      <c r="X31" s="103" t="e">
        <f t="shared" si="5"/>
        <v>#REF!</v>
      </c>
      <c r="Y31" s="103" t="e">
        <f>-1*((Massenstromrechnung!$K$3+X31)/2-Massenstromrechnung!$K$4)^Konstanten!$E$4*Massenstromrechnung!$B41*Massenstromrechnung!$C41^Konstanten!$F$4*(Massenstromrechnung!$K$3-X31)^Konstanten!$G$4*((Massenstromrechnung!$K$3+X31)/2)^Konstanten!$H$4*(Konstanten!$C$4-((Massenstromrechnung!$K$3-X31)^Konstanten!$I$4*Konstanten!$D$4))/(Massenstromrechnung!#REF!*Konstanten!$K$3/3.6)+Massenstromrechnung!$K$3</f>
        <v>#REF!</v>
      </c>
      <c r="AA31">
        <f t="shared" si="8"/>
        <v>2520</v>
      </c>
      <c r="AB31">
        <f t="shared" si="8"/>
        <v>315</v>
      </c>
      <c r="AC31" s="103">
        <f>IF(Massenstromrechnung!$K$3-10&lt;=Massenstromrechnung!$K$4,Massenstromrechnung!$K$3-0.75*(Massenstromrechnung!$K$3-Massenstromrechnung!$K$4),Massenstromrechnung!$K$3-10)</f>
        <v>65</v>
      </c>
      <c r="AD31" s="103">
        <f>-1*((Massenstromrechnung!$K$3+AC31)/2-Massenstromrechnung!$K$4)^Konstanten!$E$5*$AA31*$AB31^Konstanten!$F$5*(Massenstromrechnung!$K$3-AC31)^Konstanten!$G$5*((Massenstromrechnung!$K$3+AC31)/2)^Konstanten!$H$5*(Konstanten!$C$5-((Massenstromrechnung!$K$3-AC31)^Konstanten!$I$5*Konstanten!$D$5))/(Massenstromrechnung!$L41*Konstanten!$K$3/3.6)+Massenstromrechnung!$K$3</f>
        <v>65</v>
      </c>
      <c r="AE31" s="103">
        <f>-1*((Massenstromrechnung!$K$3+AD31)/2-Massenstromrechnung!$K$4)^Konstanten!$E$5*$AA31*$AB31^Konstanten!$F$5*(Massenstromrechnung!$K$3-AD31)^Konstanten!$G$5*((Massenstromrechnung!$K$3+AD31)/2)^Konstanten!$H$5*(Konstanten!$C$5-((Massenstromrechnung!$K$3-AD31)^Konstanten!$I$5*Konstanten!$D$5))/(Massenstromrechnung!$L41*Konstanten!$K$3/3.6)+Massenstromrechnung!$K$3</f>
        <v>65</v>
      </c>
      <c r="AF31" s="103">
        <f>-1*((Massenstromrechnung!$K$3+AE31)/2-Massenstromrechnung!$K$4)^Konstanten!$E$5*$AA31*$AB31^Konstanten!$F$5*(Massenstromrechnung!$K$3-AE31)^Konstanten!$G$5*((Massenstromrechnung!$K$3+AE31)/2)^Konstanten!$H$5*(Konstanten!$C$5-((Massenstromrechnung!$K$3-AE31)^Konstanten!$I$5*Konstanten!$D$5))/(Massenstromrechnung!$L41*Konstanten!$K$3/3.6)+Massenstromrechnung!$K$3</f>
        <v>65</v>
      </c>
      <c r="AG31" s="103">
        <f>-1*((Massenstromrechnung!$K$3+AF31)/2-Massenstromrechnung!$K$4)^Konstanten!$E$5*$AA31*$AB31^Konstanten!$F$5*(Massenstromrechnung!$K$3-AF31)^Konstanten!$G$5*((Massenstromrechnung!$K$3+AF31)/2)^Konstanten!$H$5*(Konstanten!$C$5-((Massenstromrechnung!$K$3-AF31)^Konstanten!$I$5*Konstanten!$D$5))/(Massenstromrechnung!$L41*Konstanten!$K$3/3.6)+Massenstromrechnung!$K$3</f>
        <v>65</v>
      </c>
      <c r="AH31" s="103">
        <f>-1*((Massenstromrechnung!$K$3+AG31)/2-Massenstromrechnung!$K$4)^Konstanten!$E$5*$AA31*$AB31^Konstanten!$F$5*(Massenstromrechnung!$K$3-AG31)^Konstanten!$G$5*((Massenstromrechnung!$K$3+AG31)/2)^Konstanten!$H$5*(Konstanten!$C$5-((Massenstromrechnung!$K$3-AG31)^Konstanten!$I$5*Konstanten!$D$5))/(Massenstromrechnung!$L41*Konstanten!$K$3/3.6)+Massenstromrechnung!$K$3</f>
        <v>65</v>
      </c>
      <c r="AI31" s="103">
        <f>-1*((Massenstromrechnung!$K$3+AH31)/2-Massenstromrechnung!$K$4)^Konstanten!$E$5*$AA31*$AB31^Konstanten!$F$5*(Massenstromrechnung!$K$3-AH31)^Konstanten!$G$5*((Massenstromrechnung!$K$3+AH31)/2)^Konstanten!$H$5*(Konstanten!$C$5-((Massenstromrechnung!$K$3-AH31)^Konstanten!$I$5*Konstanten!$D$5))/(Massenstromrechnung!$L41*Konstanten!$K$3/3.6)+Massenstromrechnung!$K$3</f>
        <v>65</v>
      </c>
      <c r="AK31">
        <f t="shared" si="9"/>
        <v>2520</v>
      </c>
      <c r="AL31">
        <f t="shared" si="9"/>
        <v>315</v>
      </c>
      <c r="AM31" s="103">
        <f>Massenstromrechnung!$X$3+2</f>
        <v>9</v>
      </c>
      <c r="AN31" s="103" t="str">
        <f>IF(OR(Massenstromrechnung!$Y$6&lt;(AM31*50+Massenstromrechnung!$X$3)/51,(Massenstromrechnung!$Y$6-(AM31*51+Massenstromrechnung!$X$3)/51)&lt;0.7),"trocken","feucht")</f>
        <v>feucht</v>
      </c>
      <c r="AO31" s="104">
        <f>(Massenstromrechnung!$X$4-(Massenstromrechnung!$X$3+AM31)/2)^Konstanten!$E$6*$AK31*$AL31^Konstanten!$F$6*(AM31-Massenstromrechnung!$X$3)^Konstanten!$G$6*((Massenstromrechnung!$X$3+AM31)/2)^Konstanten!$H$6*(Konstanten!$C$6-(AM31-Massenstromrechnung!$X$3)^Konstanten!$I$6*Konstanten!$D$6)</f>
        <v>729.86655229721998</v>
      </c>
      <c r="AP31" s="104">
        <f>IF(AN31="trocken",AO31,IF(Konstanten!$A$18*(Massenstromrechnung!$Y$6^Konstanten!$B$18*(Massenstromrechnung!$X$4-(Iteration!AM31+Massenstromrechnung!$X$3)/2)^Konstanten!$C$18*AO31^Konstanten!$D$18*((Massenstromrechnung!$X$3+Iteration!AM31)/2)^Konstanten!$E$18+(Iteration!AM31-Massenstromrechnung!$X$3)^Konstanten!$F$18)&lt;1,AO31,AO31*Konstanten!$A$18*(Massenstromrechnung!$Y$6^Konstanten!$B$18*(Massenstromrechnung!$X$4-(Iteration!AM31+Massenstromrechnung!$X$3)/2)^Konstanten!$C$18*AO31^Konstanten!$D$18*((Massenstromrechnung!$X$3+Iteration!AM31)/2)^Konstanten!$E$18+(Iteration!AM31-Massenstromrechnung!$X$3)^Konstanten!$F$18)))</f>
        <v>1102.6606289187146</v>
      </c>
      <c r="AQ31" s="101">
        <f>AP31/(Massenstromrechnung!$R41*Konstanten!$K$3/3.6)+Massenstromrechnung!$X$3</f>
        <v>13.21474018312178</v>
      </c>
      <c r="AR31" s="103" t="str">
        <f>IF(OR(Massenstromrechnung!$Y$6&lt;(AQ31*50+Massenstromrechnung!$X$3)/51,(Massenstromrechnung!$Y$6-(AQ31*51+Massenstromrechnung!$X$3)/51)&lt;0.7),"trocken","feucht")</f>
        <v>feucht</v>
      </c>
      <c r="AS31" s="104">
        <f>(Massenstromrechnung!$X$4-(Massenstromrechnung!$X$3+AQ31)/2)^Konstanten!$E$6*$AK31*$AL31^Konstanten!$F$6*(AQ31-Massenstromrechnung!$X$3)^Konstanten!$G$6*((Massenstromrechnung!$X$3+AQ31)/2)^Konstanten!$H$6*(Konstanten!$C$6-(AQ31-Massenstromrechnung!$X$3)^Konstanten!$I$6*Konstanten!$D$6)</f>
        <v>609.88120735803477</v>
      </c>
      <c r="AT31" s="104">
        <f>IF(AR31="trocken",AS31,IF(Konstanten!$A$18*(Massenstromrechnung!$Y$6^Konstanten!$B$18*(Massenstromrechnung!$X$4-(Iteration!AQ31+Massenstromrechnung!$X$3)/2)^Konstanten!$C$18*AS31^Konstanten!$D$18*((Massenstromrechnung!$X$3+Iteration!AQ31)/2)^Konstanten!$E$18+(Iteration!AQ31-Massenstromrechnung!$X$3)^Konstanten!$F$18)&lt;1,AS31,AS31*Konstanten!$A$18*(Massenstromrechnung!$Y$6^Konstanten!$B$18*(Massenstromrechnung!$X$4-(Iteration!AQ31+Massenstromrechnung!$X$3)/2)^Konstanten!$C$18*AS31^Konstanten!$D$18*((Massenstromrechnung!$X$3+Iteration!AQ31)/2)^Konstanten!$E$18+(Iteration!AQ31-Massenstromrechnung!$X$3)^Konstanten!$F$18)))</f>
        <v>815.58163650774111</v>
      </c>
      <c r="AU31" s="101">
        <f>AT31/(Massenstromrechnung!$R41*Konstanten!$K$3/3.6)+Massenstromrechnung!$X$3</f>
        <v>11.596725262596209</v>
      </c>
      <c r="AV31" s="103" t="str">
        <f>IF(OR(Massenstromrechnung!$Y$6&lt;(AU31*50+Massenstromrechnung!$X$3)/51,(Massenstromrechnung!$Y$6-(AU31*51+Massenstromrechnung!$X$3)/51)&lt;0.7),"trocken","feucht")</f>
        <v>feucht</v>
      </c>
      <c r="AW31" s="104">
        <f>(Massenstromrechnung!$X$4-(Massenstromrechnung!$X$3+AU31)/2)^Konstanten!$E$6*$AK31*$AL31^Konstanten!$F$6*(AU31-Massenstromrechnung!$X$3)^Konstanten!$G$6*((Massenstromrechnung!$X$3+AU31)/2)^Konstanten!$H$6*(Konstanten!$C$6-(AU31-Massenstromrechnung!$X$3)^Konstanten!$I$6*Konstanten!$D$6)</f>
        <v>658.27461991323617</v>
      </c>
      <c r="AX31" s="104">
        <f>IF(AV31="trocken",AW31,IF(Konstanten!$A$18*(Massenstromrechnung!$Y$6^Konstanten!$B$18*(Massenstromrechnung!$X$4-(Iteration!AU31+Massenstromrechnung!$X$3)/2)^Konstanten!$C$18*AW31^Konstanten!$D$18*((Massenstromrechnung!$X$3+Iteration!AU31)/2)^Konstanten!$E$18+(Iteration!AU31-Massenstromrechnung!$X$3)^Konstanten!$F$18)&lt;1,AW31,AW31*Konstanten!$A$18*(Massenstromrechnung!$Y$6^Konstanten!$B$18*(Massenstromrechnung!$X$4-(Iteration!AU31+Massenstromrechnung!$X$3)/2)^Konstanten!$C$18*AW31^Konstanten!$D$18*((Massenstromrechnung!$X$3+Iteration!AU31)/2)^Konstanten!$E$18+(Iteration!AU31-Massenstromrechnung!$X$3)^Konstanten!$F$18)))</f>
        <v>913.21423106749751</v>
      </c>
      <c r="AY31" s="101">
        <f>AX31/(Massenstromrechnung!$R41*Konstanten!$K$3/3.6)+Massenstromrechnung!$X$3</f>
        <v>12.146995393477688</v>
      </c>
      <c r="AZ31" s="103" t="str">
        <f>IF(OR(Massenstromrechnung!$Y$6&lt;(AY31*50+Massenstromrechnung!$X$3)/51,(Massenstromrechnung!$Y$6-(AY31*51+Massenstromrechnung!$X$3)/51)&lt;0.7),"trocken","feucht")</f>
        <v>feucht</v>
      </c>
      <c r="BA31" s="104">
        <f>(Massenstromrechnung!$X$4-(Massenstromrechnung!$X$3+AY31)/2)^Konstanten!$E$6*$AK31*$AL31^Konstanten!$F$6*(AY31-Massenstromrechnung!$X$3)^Konstanten!$G$6*((Massenstromrechnung!$X$3+AY31)/2)^Konstanten!$H$6*(Konstanten!$C$6-(AY31-Massenstromrechnung!$X$3)^Konstanten!$I$6*Konstanten!$D$6)</f>
        <v>641.34611712335652</v>
      </c>
      <c r="BB31" s="104">
        <f>IF(AZ31="trocken",BA31,IF(Konstanten!$A$18*(Massenstromrechnung!$Y$6^Konstanten!$B$18*(Massenstromrechnung!$X$4-(Iteration!AY31+Massenstromrechnung!$X$3)/2)^Konstanten!$C$18*BA31^Konstanten!$D$18*((Massenstromrechnung!$X$3+Iteration!AY31)/2)^Konstanten!$E$18+(Iteration!AY31-Massenstromrechnung!$X$3)^Konstanten!$F$18)&lt;1,BA31,BA31*Konstanten!$A$18*(Massenstromrechnung!$Y$6^Konstanten!$B$18*(Massenstromrechnung!$X$4-(Iteration!AY31+Massenstromrechnung!$X$3)/2)^Konstanten!$C$18*BA31^Konstanten!$D$18*((Massenstromrechnung!$X$3+Iteration!AY31)/2)^Konstanten!$E$18+(Iteration!AY31-Massenstromrechnung!$X$3)^Konstanten!$F$18)))</f>
        <v>877.92921027599459</v>
      </c>
      <c r="BC31" s="101">
        <f>BB31/(Massenstromrechnung!$R41*Konstanten!$K$3/3.6)+Massenstromrechnung!$X$3</f>
        <v>11.948124380199308</v>
      </c>
      <c r="BD31" s="103" t="str">
        <f>IF(OR(Massenstromrechnung!$Y$6&lt;(BC31*50+Massenstromrechnung!$X$3)/51,(Massenstromrechnung!$Y$6-(BC31*51+Massenstromrechnung!$X$3)/51)&lt;0.7),"trocken","feucht")</f>
        <v>feucht</v>
      </c>
      <c r="BE31" s="104">
        <f>(Massenstromrechnung!$X$4-(Massenstromrechnung!$X$3+BC31)/2)^Konstanten!$E$6*$AK31*$AL31^Konstanten!$F$6*(BC31-Massenstromrechnung!$X$3)^Konstanten!$G$6*((Massenstromrechnung!$X$3+BC31)/2)^Konstanten!$H$6*(Konstanten!$C$6-(BC31-Massenstromrechnung!$X$3)^Konstanten!$I$6*Konstanten!$D$6)</f>
        <v>647.414206254688</v>
      </c>
      <c r="BF31" s="104">
        <f>IF(BD31="trocken",BE31,IF(Konstanten!$A$18*(Massenstromrechnung!$Y$6^Konstanten!$B$18*(Massenstromrechnung!$X$4-(Iteration!BC31+Massenstromrechnung!$X$3)/2)^Konstanten!$C$18*BE31^Konstanten!$D$18*((Massenstromrechnung!$X$3+Iteration!BC31)/2)^Konstanten!$E$18+(Iteration!BC31-Massenstromrechnung!$X$3)^Konstanten!$F$18)&lt;1,BE31,BE31*Konstanten!$A$18*(Massenstromrechnung!$Y$6^Konstanten!$B$18*(Massenstromrechnung!$X$4-(Iteration!BC31+Massenstromrechnung!$X$3)/2)^Konstanten!$C$18*BE31^Konstanten!$D$18*((Massenstromrechnung!$X$3+Iteration!BC31)/2)^Konstanten!$E$18+(Iteration!BC31-Massenstromrechnung!$X$3)^Konstanten!$F$18)))</f>
        <v>890.41959365938305</v>
      </c>
      <c r="BG31" s="101">
        <f>BF31/(Massenstromrechnung!$R41*Konstanten!$K$3/3.6)+Massenstromrechnung!$X$3</f>
        <v>12.018521822059059</v>
      </c>
      <c r="BH31" s="103" t="str">
        <f>IF(OR(Massenstromrechnung!$Y$6&lt;(BG31*50+Massenstromrechnung!$X$3)/51,(Massenstromrechnung!$Y$6-(BG31*51+Massenstromrechnung!$X$3)/51)&lt;0.7),"trocken","feucht")</f>
        <v>feucht</v>
      </c>
      <c r="BI31" s="104">
        <f>(Massenstromrechnung!$X$4-(Massenstromrechnung!$X$3+BG31)/2)^Konstanten!$E$6*$AK31*$AL31^Konstanten!$F$6*(BG31-Massenstromrechnung!$X$3)^Konstanten!$G$6*((Massenstromrechnung!$X$3+BG31)/2)^Konstanten!$H$6*(Konstanten!$C$6-(BG31-Massenstromrechnung!$X$3)^Konstanten!$I$6*Konstanten!$D$6)</f>
        <v>645.25930087567519</v>
      </c>
      <c r="BJ31" s="104">
        <f>IF(BH31="trocken",BI31,IF(Konstanten!$A$18*(Massenstromrechnung!$Y$6^Konstanten!$B$18*(Massenstromrechnung!$X$4-(Iteration!BG31+Massenstromrechnung!$X$3)/2)^Konstanten!$C$18*BI31^Konstanten!$D$18*((Massenstromrechnung!$X$3+Iteration!BG31)/2)^Konstanten!$E$18+(Iteration!BG31-Massenstromrechnung!$X$3)^Konstanten!$F$18)&lt;1,BI31,BI31*Konstanten!$A$18*(Massenstromrechnung!$Y$6^Konstanten!$B$18*(Massenstromrechnung!$X$4-(Iteration!BG31+Massenstromrechnung!$X$3)/2)^Konstanten!$C$18*BI31^Konstanten!$D$18*((Massenstromrechnung!$X$3+Iteration!BG31)/2)^Konstanten!$E$18+(Iteration!BG31-Massenstromrechnung!$X$3)^Konstanten!$F$18)))</f>
        <v>885.96482825264354</v>
      </c>
      <c r="BK31" s="101">
        <f>IF(BJ31/(Massenstromrechnung!$R41*Konstanten!$K$3/3.6)+Massenstromrechnung!$X$3-Massenstromrechnung!$X$3&lt;1.4,"RLT zu niedrig",BJ31/(Massenstromrechnung!$R41*Konstanten!$K$3/3.6)+Massenstromrechnung!$X$3)</f>
        <v>11.993414178915227</v>
      </c>
      <c r="BL31" s="103" t="str">
        <f>IF(BK31="RLT zu niedrig","RLT zu niedrig",IF(OR(Massenstromrechnung!$Y$6&lt;(BK31*50+Massenstromrechnung!$X$3)/51,(Massenstromrechnung!$Y$6-(BK31*51+Massenstromrechnung!$X$3)/51)&lt;0.7),"trocken","feucht"))</f>
        <v>feucht</v>
      </c>
      <c r="BM31" s="104">
        <f>IF(BK31="RLT zu niedrig","RLT zu niedrig",(Massenstromrechnung!$X$4-(Massenstromrechnung!$X$3+BK31)/2)^Konstanten!$E$6*$AK31*$AL31^Konstanten!$F$6*(BK31-Massenstromrechnung!$X$3)^Konstanten!$G$6*((Massenstromrechnung!$X$3+BK31)/2)^Konstanten!$H$6*(Konstanten!$C$6-(BK31-Massenstromrechnung!$X$3)^Konstanten!$I$6*Konstanten!$D$6))</f>
        <v>646.02700968153329</v>
      </c>
      <c r="BN31" s="104">
        <f>IF(BK31="RLT zu niedrig","RLT zu niedrig",IF(BL31="trocken",BM31,IF(Konstanten!$A$18*(Massenstromrechnung!$Y$6^Konstanten!$B$18*(Massenstromrechnung!$X$4-(Iteration!BK31+Massenstromrechnung!$X$3)/2)^Konstanten!$C$18*BM31^Konstanten!$D$18*((Massenstromrechnung!$X$3+Iteration!BK31)/2)^Konstanten!$E$18+(Iteration!BK31-Massenstromrechnung!$X$3)^Konstanten!$F$18)&lt;1,BM31,BM31*Konstanten!$A$18*(Massenstromrechnung!$Y$6^Konstanten!$B$18*(Massenstromrechnung!$X$4-(Iteration!BK31+Massenstromrechnung!$X$3)/2)^Konstanten!$C$18*BM31^Konstanten!$D$18*((Massenstromrechnung!$X$3+Iteration!BK31)/2)^Konstanten!$E$18+(Iteration!BK31-Massenstromrechnung!$X$3)^Konstanten!$F$18))))</f>
        <v>887.54942558059554</v>
      </c>
      <c r="BO31" s="101"/>
      <c r="BP31">
        <f t="shared" si="10"/>
        <v>2520</v>
      </c>
      <c r="BQ31">
        <f t="shared" si="10"/>
        <v>315</v>
      </c>
      <c r="BR31" s="103">
        <f>Massenstromrechnung!$X$3+2</f>
        <v>9</v>
      </c>
      <c r="BS31" s="103" t="str">
        <f>IF(OR(Massenstromrechnung!$Y$6&lt;(BR31*50+Massenstromrechnung!$X$3)/51,(Massenstromrechnung!$Y$6-(BR31*51+Massenstromrechnung!$X$3)/51)&lt;0.7),"trocken","feucht")</f>
        <v>feucht</v>
      </c>
      <c r="BT31" s="104">
        <f>(Massenstromrechnung!$X$4-(Massenstromrechnung!$X$3+BR31)/2)^Konstanten!$E$7*$AK31*$AL31^Konstanten!$F$7*(BR31-Massenstromrechnung!$X$3)^Konstanten!$G$7*((Massenstromrechnung!$X$3+BR31)/2)^Konstanten!$H$7*(Konstanten!$C$7-(BR31-Massenstromrechnung!$X$3)^Konstanten!$I$7*Konstanten!$D$7)</f>
        <v>813.18908374114892</v>
      </c>
      <c r="BU31" s="104">
        <f>IF(BS31="trocken",BT31,IF(Konstanten!$A$18*(Massenstromrechnung!$Y$6^Konstanten!$B$18*(Massenstromrechnung!$X$4-(Iteration!BR31+Massenstromrechnung!$X$3)/2)^Konstanten!$C$18*BT31^Konstanten!$D$18*((Massenstromrechnung!$X$3+Iteration!BR31)/2)^Konstanten!$E$18+(Iteration!BR31-Massenstromrechnung!$X$3)^Konstanten!$F$18)&lt;1,BT31,BT31*Konstanten!$A$18*(Massenstromrechnung!$Y$6^Konstanten!$B$18*(Massenstromrechnung!$X$4-(Iteration!BR31+Massenstromrechnung!$X$3)/2)^Konstanten!$C$18*BT31^Konstanten!$D$18*((Massenstromrechnung!$X$3+Iteration!BR31)/2)^Konstanten!$E$18+(Iteration!BR31-Massenstromrechnung!$X$3)^Konstanten!$F$18)))</f>
        <v>1224.700376098268</v>
      </c>
      <c r="BV31" s="101">
        <f>BU31/(Massenstromrechnung!$AA41*Konstanten!$K$3/3.6)+Massenstromrechnung!$X$3</f>
        <v>13.892363199669649</v>
      </c>
      <c r="BW31" s="103" t="str">
        <f>IF(OR(Massenstromrechnung!$Y$6&lt;(BV31*50+Massenstromrechnung!$X$3)/51,(Massenstromrechnung!$Y$6-(BV31*51+Massenstromrechnung!$X$3)/51)&lt;0.7),"trocken","feucht")</f>
        <v>feucht</v>
      </c>
      <c r="BX31" s="104">
        <f>(Massenstromrechnung!$X$4-(Massenstromrechnung!$X$3+BV31)/2)^Konstanten!$E$7*$AK31*$AL31^Konstanten!$F$7*(BV31-Massenstromrechnung!$X$3)^Konstanten!$G$7*((Massenstromrechnung!$X$3+BV31)/2)^Konstanten!$H$7*(Konstanten!$C$7-(BV31-Massenstromrechnung!$X$3)^Konstanten!$I$7*Konstanten!$D$7)</f>
        <v>581.37327729424692</v>
      </c>
      <c r="BY31" s="104">
        <f>IF(BW31="trocken",BX31,IF(Konstanten!$A$18*(Massenstromrechnung!$Y$6^Konstanten!$B$18*(Massenstromrechnung!$X$4-(Iteration!BV31+Massenstromrechnung!$X$3)/2)^Konstanten!$C$18*BX31^Konstanten!$D$18*((Massenstromrechnung!$X$3+Iteration!BV31)/2)^Konstanten!$E$18+(Iteration!BV31-Massenstromrechnung!$X$3)^Konstanten!$F$18)&lt;1,BX31,BX31*Konstanten!$A$18*(Massenstromrechnung!$Y$6^Konstanten!$B$18*(Massenstromrechnung!$X$4-(Iteration!BV31+Massenstromrechnung!$X$3)/2)^Konstanten!$C$18*BX31^Konstanten!$D$18*((Massenstromrechnung!$X$3+Iteration!BV31)/2)^Konstanten!$E$18+(Iteration!BV31-Massenstromrechnung!$X$3)^Konstanten!$F$18)))</f>
        <v>767.50720338302199</v>
      </c>
      <c r="BZ31" s="101">
        <f>BY31/(Massenstromrechnung!$AA41*Konstanten!$K$3/3.6)+Massenstromrechnung!$X$3</f>
        <v>11.319373544190089</v>
      </c>
      <c r="CA31" s="103" t="str">
        <f>IF(OR(Massenstromrechnung!$Y$6&lt;(BZ31*50+Massenstromrechnung!$X$3)/51,(Massenstromrechnung!$Y$6-(BZ31*51+Massenstromrechnung!$X$3)/51)&lt;0.7),"trocken","feucht")</f>
        <v>feucht</v>
      </c>
      <c r="CB31" s="104">
        <f>(Massenstromrechnung!$X$4-(Massenstromrechnung!$X$3+BZ31)/2)^Konstanten!$E$7*$AK31*$AL31^Konstanten!$F$7*(BZ31-Massenstromrechnung!$X$3)^Konstanten!$G$7*((Massenstromrechnung!$X$3+BZ31)/2)^Konstanten!$H$7*(Konstanten!$C$7-(BZ31-Massenstromrechnung!$X$3)^Konstanten!$I$7*Konstanten!$D$7)</f>
        <v>674.97024163754782</v>
      </c>
      <c r="CC31" s="104">
        <f>IF(CA31="trocken",CB31,IF(Konstanten!$A$18*(Massenstromrechnung!$Y$6^Konstanten!$B$18*(Massenstromrechnung!$X$4-(Iteration!BZ31+Massenstromrechnung!$X$3)/2)^Konstanten!$C$18*CB31^Konstanten!$D$18*((Massenstromrechnung!$X$3+Iteration!BZ31)/2)^Konstanten!$E$18+(Iteration!BZ31-Massenstromrechnung!$X$3)^Konstanten!$F$18)&lt;1,CB31,CB31*Konstanten!$A$18*(Massenstromrechnung!$Y$6^Konstanten!$B$18*(Massenstromrechnung!$X$4-(Iteration!BZ31+Massenstromrechnung!$X$3)/2)^Konstanten!$C$18*CB31^Konstanten!$D$18*((Massenstromrechnung!$X$3+Iteration!BZ31)/2)^Konstanten!$E$18+(Iteration!BZ31-Massenstromrechnung!$X$3)^Konstanten!$F$18)))</f>
        <v>942.74755060368364</v>
      </c>
      <c r="CD31" s="101">
        <f>CC31/(Massenstromrechnung!$AA41*Konstanten!$K$3/3.6)+Massenstromrechnung!$X$3</f>
        <v>12.305590372283971</v>
      </c>
      <c r="CE31" s="103" t="str">
        <f>IF(OR(Massenstromrechnung!$Y$6&lt;(CD31*50+Massenstromrechnung!$X$3)/51,(Massenstromrechnung!$Y$6-(CD31*51+Massenstromrechnung!$X$3)/51)&lt;0.7),"trocken","feucht")</f>
        <v>feucht</v>
      </c>
      <c r="CF31" s="104">
        <f>(Massenstromrechnung!$X$4-(Massenstromrechnung!$X$3+CD31)/2)^Konstanten!$E$7*$AK31*$AL31^Konstanten!$F$7*(CD31-Massenstromrechnung!$X$3)^Konstanten!$G$7*((Massenstromrechnung!$X$3+CD31)/2)^Konstanten!$H$7*(Konstanten!$C$7-(CD31-Massenstromrechnung!$X$3)^Konstanten!$I$7*Konstanten!$D$7)</f>
        <v>635.12912987644438</v>
      </c>
      <c r="CG31" s="104">
        <f>IF(CE31="trocken",CF31,IF(Konstanten!$A$18*(Massenstromrechnung!$Y$6^Konstanten!$B$18*(Massenstromrechnung!$X$4-(Iteration!CD31+Massenstromrechnung!$X$3)/2)^Konstanten!$C$18*CF31^Konstanten!$D$18*((Massenstromrechnung!$X$3+Iteration!CD31)/2)^Konstanten!$E$18+(Iteration!CD31-Massenstromrechnung!$X$3)^Konstanten!$F$18)&lt;1,CF31,CF31*Konstanten!$A$18*(Massenstromrechnung!$Y$6^Konstanten!$B$18*(Massenstromrechnung!$X$4-(Iteration!CD31+Massenstromrechnung!$X$3)/2)^Konstanten!$C$18*CF31^Konstanten!$D$18*((Massenstromrechnung!$X$3+Iteration!CD31)/2)^Konstanten!$E$18+(Iteration!CD31-Massenstromrechnung!$X$3)^Konstanten!$F$18)))</f>
        <v>866.29286800424836</v>
      </c>
      <c r="CH31" s="101">
        <f>CG31/(Massenstromrechnung!$AA41*Konstanten!$K$3/3.6)+Massenstromrechnung!$X$3</f>
        <v>11.875319057703686</v>
      </c>
      <c r="CI31" s="103" t="str">
        <f>IF(OR(Massenstromrechnung!$Y$6&lt;(CH31*50+Massenstromrechnung!$X$3)/51,(Massenstromrechnung!$Y$6-(CH31*51+Massenstromrechnung!$X$3)/51)&lt;0.7),"trocken","feucht")</f>
        <v>feucht</v>
      </c>
      <c r="CJ31" s="104">
        <f>(Massenstromrechnung!$X$4-(Massenstromrechnung!$X$3+CH31)/2)^Konstanten!$E$7*$AK31*$AL31^Konstanten!$F$7*(CH31-Massenstromrechnung!$X$3)^Konstanten!$G$7*((Massenstromrechnung!$X$3+CH31)/2)^Konstanten!$H$7*(Konstanten!$C$7-(CH31-Massenstromrechnung!$X$3)^Konstanten!$I$7*Konstanten!$D$7)</f>
        <v>651.73538040521078</v>
      </c>
      <c r="CK31" s="104">
        <f>IF(CI31="trocken",CJ31,IF(Konstanten!$A$18*(Massenstromrechnung!$Y$6^Konstanten!$B$18*(Massenstromrechnung!$X$4-(Iteration!CH31+Massenstromrechnung!$X$3)/2)^Konstanten!$C$18*CJ31^Konstanten!$D$18*((Massenstromrechnung!$X$3+Iteration!CH31)/2)^Konstanten!$E$18+(Iteration!CH31-Massenstromrechnung!$X$3)^Konstanten!$F$18)&lt;1,CJ31,CJ31*Konstanten!$A$18*(Massenstromrechnung!$Y$6^Konstanten!$B$18*(Massenstromrechnung!$X$4-(Iteration!CH31+Massenstromrechnung!$X$3)/2)^Konstanten!$C$18*CJ31^Konstanten!$D$18*((Massenstromrechnung!$X$3+Iteration!CH31)/2)^Konstanten!$E$18+(Iteration!CH31-Massenstromrechnung!$X$3)^Konstanten!$F$18)))</f>
        <v>897.85242519583085</v>
      </c>
      <c r="CL31" s="101">
        <f>CK31/(Massenstromrechnung!$AA41*Konstanten!$K$3/3.6)+Massenstromrechnung!$X$3</f>
        <v>12.052929789953254</v>
      </c>
      <c r="CM31" s="103" t="str">
        <f>IF(OR(Massenstromrechnung!$Y$6&lt;(CL31*50+Massenstromrechnung!$X$3)/51,(Massenstromrechnung!$Y$6-(CL31*51+Massenstromrechnung!$X$3)/51)&lt;0.7),"trocken","feucht")</f>
        <v>feucht</v>
      </c>
      <c r="CN31" s="104">
        <f>(Massenstromrechnung!$X$4-(Massenstromrechnung!$X$3+CL31)/2)^Konstanten!$E$7*$AK31*$AL31^Konstanten!$F$7*(CL31-Massenstromrechnung!$X$3)^Konstanten!$G$7*((Massenstromrechnung!$X$3+CL31)/2)^Konstanten!$H$7*(Konstanten!$C$7-(CL31-Massenstromrechnung!$X$3)^Konstanten!$I$7*Konstanten!$D$7)</f>
        <v>644.74981065866075</v>
      </c>
      <c r="CO31" s="104">
        <f>IF(CM31="trocken",CN31,IF(Konstanten!$A$18*(Massenstromrechnung!$Y$6^Konstanten!$B$18*(Massenstromrechnung!$X$4-(Iteration!CL31+Massenstromrechnung!$X$3)/2)^Konstanten!$C$18*CN31^Konstanten!$D$18*((Massenstromrechnung!$X$3+Iteration!CL31)/2)^Konstanten!$E$18+(Iteration!CL31-Massenstromrechnung!$X$3)^Konstanten!$F$18)&lt;1,CN31,CN31*Konstanten!$A$18*(Massenstromrechnung!$Y$6^Konstanten!$B$18*(Massenstromrechnung!$X$4-(Iteration!CL31+Massenstromrechnung!$X$3)/2)^Konstanten!$C$18*CN31^Konstanten!$D$18*((Massenstromrechnung!$X$3+Iteration!CL31)/2)^Konstanten!$E$18+(Iteration!CL31-Massenstromrechnung!$X$3)^Konstanten!$F$18)))</f>
        <v>884.52096743700622</v>
      </c>
      <c r="CP31" s="101">
        <f>IF(CO31/(Massenstromrechnung!$AA41*Konstanten!$K$3/3.6)+Massenstromrechnung!$X$3-Massenstromrechnung!$X$3&lt;1.4,"RLT zu niedrig",CO31/(Massenstromrechnung!$AA41*Konstanten!$K$3/3.6)+Massenstromrechnung!$X$3)</f>
        <v>11.977903072685795</v>
      </c>
      <c r="CQ31" s="103" t="str">
        <f>IF(CP31="RLT zu niedrig","RLT zu niedrig",IF(OR(Massenstromrechnung!$Y$6&lt;(CP31*50+Massenstromrechnung!$X$3)/51,(Massenstromrechnung!$Y$6-(CP31*51+Massenstromrechnung!$X$3)/51)&lt;0.7),"trocken","feucht"))</f>
        <v>feucht</v>
      </c>
      <c r="CR31" s="104">
        <f>IF(CP31="RLT zu niedrig","RLT zu niedrig",(Massenstromrechnung!$X$4-(Massenstromrechnung!$X$3+CP31)/2)^Konstanten!$E$7*$AK31*$AL31^Konstanten!$F$7*(CP31-Massenstromrechnung!$X$3)^Konstanten!$G$7*((Massenstromrechnung!$X$3+CP31)/2)^Konstanten!$H$7*(Konstanten!$C$7-(CP31-Massenstromrechnung!$X$3)^Konstanten!$I$7*Konstanten!$D$7))</f>
        <v>647.67723324712858</v>
      </c>
      <c r="CS31" s="104">
        <f>IF(CP31="RLT zu niedrig","RLT zu niedrig",IF(CQ31="trocken",CR31,IF(Konstanten!$A$18*(Massenstromrechnung!$Y$6^Konstanten!$B$18*(Massenstromrechnung!$X$4-(Iteration!CP31+Massenstromrechnung!$X$3)/2)^Konstanten!$C$18*CR31^Konstanten!$D$18*((Massenstromrechnung!$X$3+Iteration!CP31)/2)^Konstanten!$E$18+(Iteration!CP31-Massenstromrechnung!$X$3)^Konstanten!$F$18)&lt;1,CR31,CR31*Konstanten!$A$18*(Massenstromrechnung!$Y$6^Konstanten!$B$18*(Massenstromrechnung!$X$4-(Iteration!CP31+Massenstromrechnung!$X$3)/2)^Konstanten!$C$18*CR31^Konstanten!$D$18*((Massenstromrechnung!$X$3+Iteration!CP31)/2)^Konstanten!$E$18+(Iteration!CP31-Massenstromrechnung!$X$3)^Konstanten!$F$18))))</f>
        <v>890.09805984254342</v>
      </c>
    </row>
    <row r="32" spans="1:97" x14ac:dyDescent="0.3"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AC32" s="103"/>
      <c r="AD32" s="103"/>
      <c r="AE32" s="103"/>
      <c r="AF32" s="103"/>
      <c r="AG32" s="103"/>
      <c r="AH32" s="103"/>
      <c r="AI32" s="103"/>
    </row>
    <row r="33" spans="3:35" x14ac:dyDescent="0.3">
      <c r="C33" s="103"/>
      <c r="D33" s="103"/>
      <c r="E33" s="103"/>
      <c r="F33" s="103"/>
      <c r="G33" s="103"/>
      <c r="H33" s="103"/>
      <c r="I33" s="103"/>
      <c r="J33" s="103"/>
      <c r="K33" s="103"/>
      <c r="L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AC33" s="103"/>
      <c r="AD33" s="103"/>
      <c r="AE33" s="103"/>
      <c r="AF33" s="103"/>
      <c r="AG33" s="103"/>
      <c r="AH33" s="103"/>
      <c r="AI33" s="103"/>
    </row>
    <row r="34" spans="3:35" x14ac:dyDescent="0.3"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AC34" s="103"/>
      <c r="AD34" s="103"/>
      <c r="AE34" s="103"/>
      <c r="AF34" s="103"/>
      <c r="AG34" s="103"/>
      <c r="AH34" s="103"/>
      <c r="AI34" s="103"/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7"/>
  <sheetViews>
    <sheetView workbookViewId="0">
      <selection activeCell="B6" sqref="B6"/>
    </sheetView>
  </sheetViews>
  <sheetFormatPr baseColWidth="10" defaultColWidth="11.44140625" defaultRowHeight="14.4" x14ac:dyDescent="0.3"/>
  <sheetData>
    <row r="1" spans="1:2" x14ac:dyDescent="0.3">
      <c r="A1">
        <v>2.7</v>
      </c>
      <c r="B1">
        <v>400</v>
      </c>
    </row>
    <row r="2" spans="1:2" x14ac:dyDescent="0.3">
      <c r="A2">
        <v>3.7</v>
      </c>
      <c r="B2">
        <v>525</v>
      </c>
    </row>
    <row r="3" spans="1:2" x14ac:dyDescent="0.3">
      <c r="A3">
        <v>4.7</v>
      </c>
      <c r="B3">
        <v>650</v>
      </c>
    </row>
    <row r="4" spans="1:2" x14ac:dyDescent="0.3">
      <c r="A4">
        <v>5.9</v>
      </c>
      <c r="B4">
        <v>805</v>
      </c>
    </row>
    <row r="5" spans="1:2" x14ac:dyDescent="0.3">
      <c r="A5">
        <v>6.8</v>
      </c>
      <c r="B5">
        <v>945</v>
      </c>
    </row>
    <row r="6" spans="1:2" x14ac:dyDescent="0.3">
      <c r="A6">
        <v>10</v>
      </c>
      <c r="B6">
        <v>1350</v>
      </c>
    </row>
    <row r="13" spans="1:2" x14ac:dyDescent="0.3">
      <c r="A13">
        <v>2</v>
      </c>
      <c r="B13" s="11">
        <f>131*A13 + 41.08</f>
        <v>303.08</v>
      </c>
    </row>
    <row r="14" spans="1:2" x14ac:dyDescent="0.3">
      <c r="A14">
        <v>4</v>
      </c>
      <c r="B14" s="11">
        <f t="shared" ref="B14:B17" si="0">131*A14 + 41.08</f>
        <v>565.08000000000004</v>
      </c>
    </row>
    <row r="15" spans="1:2" x14ac:dyDescent="0.3">
      <c r="A15">
        <v>6</v>
      </c>
      <c r="B15" s="11">
        <f t="shared" si="0"/>
        <v>827.08</v>
      </c>
    </row>
    <row r="16" spans="1:2" x14ac:dyDescent="0.3">
      <c r="A16">
        <v>8</v>
      </c>
      <c r="B16" s="11">
        <f t="shared" si="0"/>
        <v>1089.08</v>
      </c>
    </row>
    <row r="17" spans="1:2" x14ac:dyDescent="0.3">
      <c r="A17">
        <v>10</v>
      </c>
      <c r="B17" s="11">
        <f t="shared" si="0"/>
        <v>1351.08</v>
      </c>
    </row>
  </sheetData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B89E8-EFD3-47E1-81E4-34E9806C49C8}">
  <dimension ref="A1:XEW110"/>
  <sheetViews>
    <sheetView tabSelected="1" zoomScaleNormal="100" zoomScaleSheetLayoutView="85" workbookViewId="0">
      <selection activeCell="M4" sqref="M4"/>
    </sheetView>
  </sheetViews>
  <sheetFormatPr baseColWidth="10" defaultColWidth="0" defaultRowHeight="14.4" zeroHeight="1" x14ac:dyDescent="0.3"/>
  <cols>
    <col min="1" max="1" width="4.44140625" style="106" customWidth="1"/>
    <col min="2" max="3" width="12.44140625" style="115" hidden="1" customWidth="1"/>
    <col min="4" max="4" width="7.44140625" style="108" customWidth="1"/>
    <col min="5" max="5" width="12.109375" style="108" hidden="1" customWidth="1"/>
    <col min="6" max="6" width="8.5546875" style="106" customWidth="1"/>
    <col min="7" max="7" width="11.44140625" style="118" hidden="1" customWidth="1"/>
    <col min="8" max="8" width="9.44140625" style="106" customWidth="1"/>
    <col min="9" max="9" width="13.44140625" style="106" customWidth="1"/>
    <col min="10" max="10" width="10.5546875" style="106" customWidth="1"/>
    <col min="11" max="11" width="12.5546875" style="106" customWidth="1"/>
    <col min="12" max="12" width="11.44140625" style="109" customWidth="1"/>
    <col min="13" max="13" width="14.5546875" style="109" customWidth="1"/>
    <col min="14" max="14" width="10.44140625" style="109" bestFit="1" customWidth="1"/>
    <col min="15" max="15" width="12.5546875" style="109" customWidth="1"/>
    <col min="16" max="16" width="7.44140625" style="106" bestFit="1" customWidth="1"/>
    <col min="17" max="17" width="14.5546875" style="106" customWidth="1"/>
    <col min="18" max="18" width="12.88671875" style="106" customWidth="1"/>
    <col min="19" max="19" width="13.44140625" style="106" customWidth="1"/>
    <col min="20" max="20" width="12.5546875" style="109" customWidth="1"/>
    <col min="21" max="22" width="3.44140625" style="109" customWidth="1"/>
    <col min="23" max="23" width="7.5546875" style="109" customWidth="1"/>
    <col min="24" max="24" width="8.5546875" style="109" customWidth="1"/>
    <col min="25" max="25" width="13.5546875" style="106" customWidth="1"/>
    <col min="26" max="26" width="16.109375" style="106" customWidth="1"/>
    <col min="27" max="27" width="13.44140625" style="108" customWidth="1"/>
    <col min="28" max="28" width="10.44140625" style="106" bestFit="1" customWidth="1"/>
    <col min="29" max="29" width="13.44140625" style="106" customWidth="1"/>
    <col min="30" max="30" width="12.109375" style="106" customWidth="1"/>
    <col min="31" max="31" width="10.44140625" style="106" customWidth="1"/>
    <col min="32" max="32" width="15.5546875" style="106" customWidth="1"/>
    <col min="33" max="33" width="14" style="109" customWidth="1"/>
    <col min="34" max="34" width="15.44140625" style="109" customWidth="1"/>
    <col min="35" max="35" width="13.109375" style="109" customWidth="1"/>
    <col min="36" max="36" width="10.44140625" style="109" bestFit="1" customWidth="1"/>
    <col min="37" max="37" width="12.88671875" style="109" customWidth="1"/>
    <col min="38" max="38" width="11" style="109" bestFit="1" customWidth="1"/>
    <col min="39" max="39" width="10.5546875" style="109" customWidth="1"/>
    <col min="40" max="40" width="16.44140625" style="109" customWidth="1"/>
    <col min="41" max="41" width="4.44140625" style="109" customWidth="1"/>
    <col min="42" max="48" width="0" style="109" hidden="1"/>
    <col min="16378" max="16384" width="11.5546875" hidden="1"/>
  </cols>
  <sheetData>
    <row r="1" spans="1:16377" ht="21" x14ac:dyDescent="0.4">
      <c r="H1" s="386" t="s">
        <v>203</v>
      </c>
      <c r="I1" s="386"/>
      <c r="J1" s="386"/>
      <c r="K1" s="386"/>
      <c r="L1" s="386"/>
      <c r="M1" s="386"/>
      <c r="N1" s="386"/>
      <c r="O1" s="386"/>
      <c r="U1" s="248"/>
      <c r="V1" s="248"/>
      <c r="W1" s="248"/>
      <c r="X1" s="248"/>
      <c r="Y1" s="386" t="s">
        <v>204</v>
      </c>
      <c r="Z1" s="386"/>
      <c r="AA1" s="386"/>
      <c r="AB1" s="386"/>
      <c r="AC1" s="386"/>
      <c r="AD1" s="386"/>
      <c r="AE1" s="386"/>
      <c r="AF1" s="386"/>
      <c r="AG1" s="386"/>
      <c r="AH1" s="386"/>
      <c r="AI1" s="386"/>
      <c r="AJ1" s="386"/>
      <c r="AK1" s="386"/>
      <c r="AL1" s="386"/>
      <c r="AM1" s="386"/>
      <c r="AN1" s="386"/>
    </row>
    <row r="2" spans="1:16377" ht="15" customHeight="1" x14ac:dyDescent="0.3">
      <c r="H2" s="387" t="s">
        <v>199</v>
      </c>
      <c r="I2" s="388"/>
      <c r="J2" s="376" t="str">
        <f>IF($M$3="metric","°C","°F")</f>
        <v>°C</v>
      </c>
      <c r="K2" s="326">
        <v>75</v>
      </c>
      <c r="L2" s="247" t="s">
        <v>211</v>
      </c>
      <c r="M2" s="384" t="s">
        <v>249</v>
      </c>
      <c r="N2" s="385"/>
      <c r="O2" s="329">
        <v>0</v>
      </c>
      <c r="Y2" s="387" t="s">
        <v>199</v>
      </c>
      <c r="Z2" s="387"/>
      <c r="AA2" s="376" t="str">
        <f>IF($M$3="metric","°C","°F")</f>
        <v>°C</v>
      </c>
      <c r="AB2" s="326">
        <v>16</v>
      </c>
      <c r="AC2" s="247" t="s">
        <v>211</v>
      </c>
      <c r="AD2" s="389" t="str">
        <f>M2</f>
        <v>ethylene glycol</v>
      </c>
      <c r="AE2" s="390"/>
      <c r="AF2" s="381">
        <f>$O$2</f>
        <v>0</v>
      </c>
      <c r="AI2" s="130"/>
      <c r="AJ2" s="130"/>
      <c r="AK2" s="130"/>
      <c r="AL2" s="130"/>
      <c r="AM2" s="130"/>
      <c r="AN2" s="130"/>
    </row>
    <row r="3" spans="1:16377" ht="15" customHeight="1" x14ac:dyDescent="0.3">
      <c r="H3" s="383" t="s">
        <v>245</v>
      </c>
      <c r="I3" s="383"/>
      <c r="J3" s="377" t="str">
        <f>IF($M$3="metric","°C","°F")</f>
        <v>°C</v>
      </c>
      <c r="K3" s="327">
        <v>65</v>
      </c>
      <c r="L3" s="247" t="s">
        <v>207</v>
      </c>
      <c r="M3" s="330" t="s">
        <v>209</v>
      </c>
      <c r="Y3" s="383" t="s">
        <v>245</v>
      </c>
      <c r="Z3" s="383"/>
      <c r="AA3" s="377" t="str">
        <f>IF($M$3="metric","°C","°F")</f>
        <v>°C</v>
      </c>
      <c r="AB3" s="327">
        <v>18</v>
      </c>
      <c r="AC3" s="247" t="s">
        <v>207</v>
      </c>
      <c r="AD3" s="382" t="str">
        <f>M3</f>
        <v>metric</v>
      </c>
      <c r="AF3" s="109"/>
      <c r="AI3" s="130"/>
      <c r="AJ3" s="130"/>
      <c r="AK3" s="130"/>
      <c r="AL3" s="130"/>
      <c r="AM3" s="130"/>
      <c r="AN3" s="130"/>
    </row>
    <row r="4" spans="1:16377" ht="15" customHeight="1" x14ac:dyDescent="0.3">
      <c r="H4" s="397" t="s">
        <v>214</v>
      </c>
      <c r="I4" s="397"/>
      <c r="J4" s="359" t="str">
        <f>IF($M$3="metric","°C","°F")</f>
        <v>°C</v>
      </c>
      <c r="K4" s="328">
        <v>20</v>
      </c>
      <c r="M4" s="130"/>
      <c r="N4" s="130"/>
      <c r="O4" s="130"/>
      <c r="U4" s="130"/>
      <c r="V4" s="130"/>
      <c r="W4" s="130"/>
      <c r="X4" s="130"/>
      <c r="Y4" s="397" t="s">
        <v>214</v>
      </c>
      <c r="Z4" s="397"/>
      <c r="AA4" s="377" t="str">
        <f>IF($M$3="metric","°C","°F")</f>
        <v>°C</v>
      </c>
      <c r="AB4" s="327">
        <v>26</v>
      </c>
      <c r="AC4" s="379"/>
      <c r="AF4" s="252"/>
      <c r="AG4" s="130"/>
      <c r="AH4" s="130"/>
      <c r="AI4" s="130"/>
      <c r="AJ4" s="130"/>
      <c r="AK4" s="130"/>
      <c r="AL4" s="130"/>
      <c r="AM4" s="130"/>
      <c r="AN4" s="130"/>
    </row>
    <row r="5" spans="1:16377" ht="15" customHeight="1" x14ac:dyDescent="0.3">
      <c r="H5" s="109"/>
      <c r="I5" s="109"/>
      <c r="J5" s="114"/>
      <c r="K5" s="130"/>
      <c r="L5" s="379" t="str">
        <f>IF(OR(I7&gt;'Limits and Glycol'!B25,I8&gt;'Limits and Glycol'!B26),"Attention: dT above limit",IF(OR('Calculation Tool'!I7&lt;'Limits and Glycol'!B27,'Calculation Tool'!I8&lt;'Limits and Glycol'!B28),"Attention: dT below limit",""))</f>
        <v/>
      </c>
      <c r="N5" s="130"/>
      <c r="O5" s="130"/>
      <c r="U5" s="130"/>
      <c r="V5" s="130"/>
      <c r="W5" s="130"/>
      <c r="X5" s="130"/>
      <c r="Y5" s="398" t="s">
        <v>212</v>
      </c>
      <c r="Z5" s="399"/>
      <c r="AA5" s="378" t="s">
        <v>206</v>
      </c>
      <c r="AB5" s="328">
        <v>50</v>
      </c>
      <c r="AC5" s="379"/>
      <c r="AF5" s="218"/>
      <c r="AG5" s="130"/>
      <c r="AH5" s="130"/>
      <c r="AI5" s="130"/>
      <c r="AJ5" s="130"/>
      <c r="AK5" s="130"/>
      <c r="AL5" s="130"/>
      <c r="AM5" s="130"/>
      <c r="AN5" s="130"/>
      <c r="BO5">
        <f xml:space="preserve"> 2.1931E-44*(AB4+273.15)^19.062</f>
        <v>3439.1782829851813</v>
      </c>
      <c r="BP5" s="249">
        <f>($AB$5/100)*$BO$5/(461.5*298)</f>
        <v>1.2503647585511141E-2</v>
      </c>
    </row>
    <row r="6" spans="1:16377" ht="14.25" hidden="1" customHeight="1" x14ac:dyDescent="0.3">
      <c r="A6" s="109"/>
      <c r="B6" s="116"/>
      <c r="C6" s="116"/>
      <c r="D6" s="113"/>
      <c r="E6" s="113"/>
      <c r="F6" s="109"/>
      <c r="G6" s="119"/>
      <c r="H6" s="111"/>
      <c r="I6" s="111"/>
      <c r="J6" s="111"/>
      <c r="K6" s="112"/>
      <c r="P6" s="109"/>
      <c r="Q6" s="109"/>
      <c r="R6" s="109"/>
      <c r="S6" s="109"/>
      <c r="Y6" s="111"/>
      <c r="Z6" s="111"/>
      <c r="AA6" s="112"/>
      <c r="AB6" s="110"/>
      <c r="AC6" s="110"/>
      <c r="AD6" s="110"/>
      <c r="AE6" s="110"/>
      <c r="AF6" s="110"/>
      <c r="AI6" s="130"/>
      <c r="AJ6" s="130"/>
      <c r="AK6" s="130"/>
      <c r="AL6" s="130"/>
      <c r="AM6" s="130"/>
      <c r="AN6" s="130"/>
    </row>
    <row r="7" spans="1:16377" hidden="1" x14ac:dyDescent="0.3">
      <c r="A7" s="109"/>
      <c r="B7" s="116"/>
      <c r="C7" s="116"/>
      <c r="D7" s="113"/>
      <c r="E7" s="113"/>
      <c r="F7" s="109"/>
      <c r="G7" s="119"/>
      <c r="H7" s="109"/>
      <c r="I7" s="325">
        <f>K2-K3</f>
        <v>10</v>
      </c>
      <c r="J7" s="109"/>
      <c r="K7" s="109"/>
      <c r="P7" s="109"/>
      <c r="Q7" s="109"/>
      <c r="R7" s="109"/>
      <c r="S7" s="109"/>
      <c r="Y7" s="109"/>
      <c r="Z7" s="109">
        <f>AB3-AB2</f>
        <v>2</v>
      </c>
      <c r="AA7" s="109"/>
      <c r="AB7" s="109"/>
      <c r="AC7" s="109"/>
      <c r="AD7" s="109"/>
      <c r="AE7" s="109"/>
      <c r="AF7" s="109"/>
    </row>
    <row r="8" spans="1:16377" hidden="1" x14ac:dyDescent="0.3">
      <c r="A8" s="109"/>
      <c r="B8" s="116"/>
      <c r="C8" s="116"/>
      <c r="D8" s="113"/>
      <c r="E8" s="113"/>
      <c r="F8" s="109"/>
      <c r="G8" s="119"/>
      <c r="H8" s="109">
        <f>(K2+K3)/2</f>
        <v>70</v>
      </c>
      <c r="I8" s="325">
        <f>H8-K4</f>
        <v>50</v>
      </c>
      <c r="J8" s="109"/>
      <c r="K8" s="109"/>
      <c r="P8" s="109"/>
      <c r="Q8" s="109"/>
      <c r="R8" s="109"/>
      <c r="S8" s="109"/>
      <c r="Y8" s="109">
        <f>(AB2+AB3)/2</f>
        <v>17</v>
      </c>
      <c r="Z8" s="109">
        <f>AB4-Y8</f>
        <v>9</v>
      </c>
      <c r="AA8" s="109"/>
      <c r="AB8" s="109"/>
      <c r="AC8" s="109"/>
      <c r="AD8" s="109"/>
      <c r="AE8" s="109"/>
      <c r="AF8" s="109"/>
    </row>
    <row r="9" spans="1:16377" hidden="1" x14ac:dyDescent="0.3">
      <c r="A9" s="109"/>
      <c r="B9" s="116"/>
      <c r="C9" s="116"/>
      <c r="D9" s="113"/>
      <c r="E9" s="113"/>
      <c r="F9" s="109"/>
      <c r="G9" s="119"/>
      <c r="H9" s="109"/>
      <c r="I9" s="109"/>
      <c r="J9" s="109"/>
      <c r="K9" s="109"/>
      <c r="P9" s="109"/>
      <c r="Q9" s="109"/>
      <c r="R9" s="109"/>
      <c r="S9" s="109"/>
      <c r="Y9" s="109"/>
      <c r="Z9" s="240">
        <f>IF(237.3*(LOG10((AB5/100*(6.1078*10^((7.5*AB4)/(237.3+AB4))))/6.1078))/(7.5-(LOG10((AB5/100*(6.1078*10^((7.5*AB4)/(237.3+AB4))))/6.1078)))&lt;1,1,237.3*(LOG10((AB5/100*(6.1078*10^((7.5*AB4)/(237.3+AB4))))/6.1078))/(7.5-(LOG10((AB5/100*(6.1078*10^((7.5*AB4)/(237.3+AB4))))/6.1078))))</f>
        <v>14.77388505236549</v>
      </c>
      <c r="AA9" s="240">
        <f>Z9-AB2</f>
        <v>-1.2261149476345103</v>
      </c>
      <c r="AB9" s="109"/>
      <c r="AC9" s="109"/>
      <c r="AD9" s="109"/>
      <c r="AE9" s="109"/>
      <c r="AF9" s="109"/>
    </row>
    <row r="10" spans="1:16377" hidden="1" x14ac:dyDescent="0.3">
      <c r="A10" s="109"/>
      <c r="B10" s="116"/>
      <c r="C10" s="116"/>
      <c r="D10" s="113"/>
      <c r="E10" s="113"/>
      <c r="F10" s="109"/>
      <c r="G10" s="119"/>
      <c r="H10" s="109"/>
      <c r="I10" s="109"/>
      <c r="J10" s="109"/>
      <c r="K10" s="109"/>
      <c r="P10" s="109"/>
      <c r="Q10" s="109"/>
      <c r="R10" s="109"/>
      <c r="S10" s="109"/>
      <c r="Y10" s="109" t="str">
        <f>IF(OR(Z9&lt;(AB3*50+AB2)/51,(Z9-(AB3*50+AB2)/51)&lt;0.7),"trocken","feucht")</f>
        <v>trocken</v>
      </c>
      <c r="Z10" s="109"/>
      <c r="AA10" s="110"/>
      <c r="AB10" s="110"/>
      <c r="AC10" s="110"/>
      <c r="AD10" s="110"/>
      <c r="AE10" s="110"/>
      <c r="AF10" s="110"/>
    </row>
    <row r="11" spans="1:16377" s="109" customFormat="1" hidden="1" x14ac:dyDescent="0.3">
      <c r="B11" s="116"/>
      <c r="C11" s="116"/>
      <c r="D11" s="113"/>
      <c r="E11" s="113"/>
      <c r="G11" s="119"/>
      <c r="H11" s="111"/>
      <c r="Y11" s="111"/>
      <c r="AA11" s="110"/>
      <c r="AB11" s="110"/>
      <c r="AC11" s="110"/>
      <c r="AD11" s="110"/>
      <c r="AE11" s="110"/>
      <c r="AF11" s="110"/>
      <c r="AW11"/>
      <c r="AX11"/>
      <c r="AY11">
        <f>ROUND(630*1.2/10,0)*10</f>
        <v>760</v>
      </c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</row>
    <row r="12" spans="1:16377" x14ac:dyDescent="0.3">
      <c r="A12" s="109"/>
      <c r="B12" s="116"/>
      <c r="C12" s="116"/>
      <c r="D12" s="113"/>
      <c r="E12" s="113"/>
      <c r="F12" s="109"/>
      <c r="G12" s="119"/>
      <c r="H12" s="111"/>
      <c r="I12" s="109"/>
      <c r="J12" s="109"/>
      <c r="K12" s="109"/>
      <c r="P12" s="109"/>
      <c r="Q12" s="109"/>
      <c r="R12" s="109"/>
      <c r="S12" s="109"/>
      <c r="Y12" s="111"/>
      <c r="Z12" s="109"/>
      <c r="AA12" s="110"/>
      <c r="AB12" s="110"/>
      <c r="AC12" s="110"/>
      <c r="AD12" s="110"/>
      <c r="AE12" s="110"/>
      <c r="AF12" s="110"/>
    </row>
    <row r="13" spans="1:16377" ht="14.25" customHeight="1" x14ac:dyDescent="0.3">
      <c r="B13" s="117"/>
      <c r="C13" s="391" t="s">
        <v>196</v>
      </c>
      <c r="D13" s="388" t="s">
        <v>198</v>
      </c>
      <c r="E13" s="393" t="s">
        <v>1</v>
      </c>
      <c r="F13" s="393" t="s">
        <v>197</v>
      </c>
      <c r="G13" s="395" t="s">
        <v>5</v>
      </c>
      <c r="H13" s="400" t="s">
        <v>201</v>
      </c>
      <c r="I13" s="400"/>
      <c r="J13" s="400"/>
      <c r="K13" s="401"/>
      <c r="L13" s="402" t="s">
        <v>202</v>
      </c>
      <c r="M13" s="400"/>
      <c r="N13" s="400"/>
      <c r="O13" s="401"/>
      <c r="P13" s="402" t="s">
        <v>205</v>
      </c>
      <c r="Q13" s="400"/>
      <c r="R13" s="400"/>
      <c r="S13" s="400"/>
      <c r="T13" s="401"/>
      <c r="U13" s="255"/>
      <c r="V13" s="255"/>
      <c r="W13" s="388" t="s">
        <v>198</v>
      </c>
      <c r="X13" s="393" t="s">
        <v>197</v>
      </c>
      <c r="Y13" s="400" t="s">
        <v>201</v>
      </c>
      <c r="Z13" s="400"/>
      <c r="AA13" s="400"/>
      <c r="AB13" s="400"/>
      <c r="AC13" s="400"/>
      <c r="AD13" s="400"/>
      <c r="AE13" s="400"/>
      <c r="AF13" s="401"/>
      <c r="AG13" s="402" t="s">
        <v>202</v>
      </c>
      <c r="AH13" s="400"/>
      <c r="AI13" s="400"/>
      <c r="AJ13" s="400"/>
      <c r="AK13" s="400"/>
      <c r="AL13" s="400"/>
      <c r="AM13" s="400"/>
      <c r="AN13" s="401"/>
    </row>
    <row r="14" spans="1:16377" s="304" customFormat="1" ht="29.1" customHeight="1" x14ac:dyDescent="0.3">
      <c r="A14" s="297"/>
      <c r="B14" s="258" t="s">
        <v>1</v>
      </c>
      <c r="C14" s="391"/>
      <c r="D14" s="392"/>
      <c r="E14" s="394"/>
      <c r="F14" s="394"/>
      <c r="G14" s="396"/>
      <c r="H14" s="298" t="s">
        <v>216</v>
      </c>
      <c r="I14" s="298" t="s">
        <v>215</v>
      </c>
      <c r="J14" s="298" t="s">
        <v>217</v>
      </c>
      <c r="K14" s="301" t="s">
        <v>218</v>
      </c>
      <c r="L14" s="308" t="s">
        <v>216</v>
      </c>
      <c r="M14" s="298" t="s">
        <v>215</v>
      </c>
      <c r="N14" s="298" t="s">
        <v>217</v>
      </c>
      <c r="O14" s="301" t="s">
        <v>218</v>
      </c>
      <c r="P14" s="302" t="s">
        <v>224</v>
      </c>
      <c r="Q14" s="300" t="s">
        <v>225</v>
      </c>
      <c r="R14" s="300" t="s">
        <v>226</v>
      </c>
      <c r="S14" s="300" t="s">
        <v>227</v>
      </c>
      <c r="T14" s="301" t="s">
        <v>228</v>
      </c>
      <c r="U14" s="299"/>
      <c r="V14" s="299"/>
      <c r="W14" s="392"/>
      <c r="X14" s="394"/>
      <c r="Y14" s="298" t="s">
        <v>222</v>
      </c>
      <c r="Z14" s="298" t="s">
        <v>223</v>
      </c>
      <c r="AA14" s="298" t="s">
        <v>215</v>
      </c>
      <c r="AB14" s="298" t="s">
        <v>217</v>
      </c>
      <c r="AC14" s="300" t="s">
        <v>218</v>
      </c>
      <c r="AD14" s="300" t="s">
        <v>219</v>
      </c>
      <c r="AE14" s="300" t="s">
        <v>220</v>
      </c>
      <c r="AF14" s="301" t="s">
        <v>221</v>
      </c>
      <c r="AG14" s="308" t="s">
        <v>222</v>
      </c>
      <c r="AH14" s="298" t="s">
        <v>223</v>
      </c>
      <c r="AI14" s="298" t="s">
        <v>215</v>
      </c>
      <c r="AJ14" s="298" t="s">
        <v>217</v>
      </c>
      <c r="AK14" s="300" t="s">
        <v>218</v>
      </c>
      <c r="AL14" s="300" t="s">
        <v>219</v>
      </c>
      <c r="AM14" s="300" t="s">
        <v>220</v>
      </c>
      <c r="AN14" s="301" t="s">
        <v>221</v>
      </c>
      <c r="AO14" s="303"/>
      <c r="AP14" s="303"/>
      <c r="AQ14" s="303"/>
      <c r="AR14" s="303"/>
      <c r="AS14" s="303"/>
      <c r="AT14" s="303"/>
      <c r="AU14" s="303"/>
      <c r="AV14" s="303"/>
      <c r="AW14" s="303">
        <f>AVERAGE(AW16:AW41)</f>
        <v>0.12497638086775271</v>
      </c>
      <c r="BO14" s="304" t="s">
        <v>193</v>
      </c>
      <c r="BP14" s="304" t="s">
        <v>191</v>
      </c>
      <c r="BQ14" s="304" t="s">
        <v>192</v>
      </c>
      <c r="BR14" s="304" t="s">
        <v>194</v>
      </c>
      <c r="BS14" s="304" t="s">
        <v>190</v>
      </c>
      <c r="BT14" s="304" t="s">
        <v>195</v>
      </c>
    </row>
    <row r="15" spans="1:16377" s="27" customFormat="1" x14ac:dyDescent="0.3">
      <c r="A15" s="107"/>
      <c r="B15" s="117"/>
      <c r="C15" s="258"/>
      <c r="D15" s="355" t="str">
        <f>IF($M$3="metric","mm","inch")</f>
        <v>mm</v>
      </c>
      <c r="E15" s="356"/>
      <c r="F15" s="357" t="s">
        <v>206</v>
      </c>
      <c r="G15" s="356"/>
      <c r="H15" s="358" t="str">
        <f>IF($M$3="metric","W","BTU/h")</f>
        <v>W</v>
      </c>
      <c r="I15" s="358" t="str">
        <f>IF($M$3="metric","°C","°F")</f>
        <v>°C</v>
      </c>
      <c r="J15" s="358" t="str">
        <f>IF($M$3="metric","l/h","gpm")</f>
        <v>l/h</v>
      </c>
      <c r="K15" s="359" t="str">
        <f>IF($M$3="metric","kPa","ft H2O")</f>
        <v>kPa</v>
      </c>
      <c r="L15" s="360" t="str">
        <f>IF($M$3="metric","W","BTU/h")</f>
        <v>W</v>
      </c>
      <c r="M15" s="358" t="str">
        <f>IF($M$3="metric","°C","°F")</f>
        <v>°C</v>
      </c>
      <c r="N15" s="358" t="str">
        <f>IF($M$3="metric","l/h","gpm")</f>
        <v>l/h</v>
      </c>
      <c r="O15" s="359" t="str">
        <f>IF($M$3="metric","kPa","ft H2O")</f>
        <v>kPa</v>
      </c>
      <c r="P15" s="360" t="str">
        <f>'Katalogdaten M3G045'!AK15</f>
        <v>l/s</v>
      </c>
      <c r="Q15" s="361" t="str">
        <f>'Katalogdaten M3G045'!AL15</f>
        <v>dB(A)</v>
      </c>
      <c r="R15" s="361" t="str">
        <f>'Katalogdaten M3G045'!AM15</f>
        <v>dB(A)</v>
      </c>
      <c r="S15" s="362" t="str">
        <f>'Katalogdaten M3G045'!AN15</f>
        <v>W</v>
      </c>
      <c r="T15" s="363" t="str">
        <f>'Katalogdaten M3G045'!AO15</f>
        <v>mA</v>
      </c>
      <c r="U15" s="364"/>
      <c r="V15" s="364"/>
      <c r="W15" s="355" t="str">
        <f>IF($M$3="metric","mm","inch")</f>
        <v>mm</v>
      </c>
      <c r="X15" s="357" t="s">
        <v>206</v>
      </c>
      <c r="Y15" s="358" t="str">
        <f>IF($M$3="metric","W","BTU/h")</f>
        <v>W</v>
      </c>
      <c r="Z15" s="358" t="str">
        <f>IF($M$3="metric","W","BTU/h")</f>
        <v>W</v>
      </c>
      <c r="AA15" s="358" t="str">
        <f>IF($M$3="metric","°C","°F")</f>
        <v>°C</v>
      </c>
      <c r="AB15" s="358" t="str">
        <f>IF($M$3="metric","l/h","gpm")</f>
        <v>l/h</v>
      </c>
      <c r="AC15" s="358" t="str">
        <f>IF($M$3="metric","kPa","ft H2O")</f>
        <v>kPa</v>
      </c>
      <c r="AD15" s="358" t="str">
        <f>IF($M$3="metric","l/h","gph")</f>
        <v>l/h</v>
      </c>
      <c r="AE15" s="361" t="s">
        <v>206</v>
      </c>
      <c r="AF15" s="359" t="str">
        <f>IF($M$3="metric","°C","°F")</f>
        <v>°C</v>
      </c>
      <c r="AG15" s="360" t="str">
        <f>IF($M$3="metric","W","BTU/h")</f>
        <v>W</v>
      </c>
      <c r="AH15" s="358" t="str">
        <f>IF($M$3="metric","W","BTU/h")</f>
        <v>W</v>
      </c>
      <c r="AI15" s="358" t="str">
        <f>IF($M$3="metric","°C","°F")</f>
        <v>°C</v>
      </c>
      <c r="AJ15" s="358" t="str">
        <f>IF($M$3="metric","l/h","gpm")</f>
        <v>l/h</v>
      </c>
      <c r="AK15" s="358" t="str">
        <f>IF($M$3="metric","kPa","ft H2O")</f>
        <v>kPa</v>
      </c>
      <c r="AL15" s="358" t="str">
        <f>IF($M$3="metric","l/h","gph")</f>
        <v>l/h</v>
      </c>
      <c r="AM15" s="361" t="s">
        <v>206</v>
      </c>
      <c r="AN15" s="359" t="str">
        <f>IF($M$3="metric","°C","°F")</f>
        <v>°C</v>
      </c>
      <c r="AO15" s="110"/>
      <c r="AP15" s="110"/>
      <c r="AQ15" s="110"/>
      <c r="AR15" s="110"/>
      <c r="AS15" s="110"/>
      <c r="AT15" s="110"/>
      <c r="AU15" s="110"/>
      <c r="AV15" s="110"/>
      <c r="AW15" s="110"/>
    </row>
    <row r="16" spans="1:16377" x14ac:dyDescent="0.3">
      <c r="B16" s="117">
        <f>IF(ISNUMBER(VLOOKUP($E$16,$AU$16:$AV$41,2,0)),VLOOKUP($E$16,$AU$16:$AV$41,2,0),$E$16*(1+$AW$14))*C16</f>
        <v>420</v>
      </c>
      <c r="C16" s="253">
        <v>1</v>
      </c>
      <c r="D16" s="403">
        <f>IF($M$3="metric",950,37.4)</f>
        <v>950</v>
      </c>
      <c r="E16" s="406">
        <v>380</v>
      </c>
      <c r="F16" s="365">
        <v>100</v>
      </c>
      <c r="G16" s="366">
        <f t="shared" ref="G16:G45" si="0">IF(ISNUMBER(VLOOKUP(F16,$AP$16:$AQ$20,2,0)),VLOOKUP(F16,$AP$16:$AQ$20,2,0),F16*$AR$16+$AS$16)</f>
        <v>1205</v>
      </c>
      <c r="H16" s="332">
        <f>IF($M$3="metric",'Katalogdaten M3G045'!H16,'Katalogdaten M3G045'!H16*3.412)</f>
        <v>2906.3296637362241</v>
      </c>
      <c r="I16" s="333">
        <f>IF($M$3="metric",'Katalogdaten M3G045'!I16,('Katalogdaten M3G045'!I16*1.8+32))</f>
        <v>58.324063518500317</v>
      </c>
      <c r="J16" s="334">
        <f>IF($M$3="metric",'Katalogdaten M3G045'!J16,'Katalogdaten M3G045'!J16*0.00440287)</f>
        <v>249.87350731470457</v>
      </c>
      <c r="K16" s="335">
        <f>IF($M$3="metric",'Katalogdaten M3G045'!K16,'Katalogdaten M3G045'!K16*0.335)</f>
        <v>21.640237157988892</v>
      </c>
      <c r="L16" s="336">
        <f>IF($M$3="metric",'Katalogdaten M3G045'!L16,'Katalogdaten M3G045'!L16*3.412)</f>
        <v>1652.5663193893374</v>
      </c>
      <c r="M16" s="333">
        <f>IF($M$3="metric",'Katalogdaten M3G045'!M16,('Katalogdaten M3G045'!M16*1.8+32))</f>
        <v>39.969129005178338</v>
      </c>
      <c r="N16" s="334">
        <f>IF($M$3="metric",'Katalogdaten M3G045'!N16,'Katalogdaten M3G045'!N16*0.00440287)</f>
        <v>142.08042103700024</v>
      </c>
      <c r="O16" s="335">
        <f>IF($M$3="metric",'Katalogdaten M3G045'!O16,'Katalogdaten M3G045'!O16*0.335)</f>
        <v>1.0728762695373129</v>
      </c>
      <c r="P16" s="337">
        <f>IF($M$3="metric",'Katalogdaten M3G045'!AK16*0.277778,'Katalogdaten M3G045'!AK16*0.5886)</f>
        <v>61.111160000000005</v>
      </c>
      <c r="Q16" s="335">
        <f>'Katalogdaten M3G045'!AL16</f>
        <v>39.360182971799667</v>
      </c>
      <c r="R16" s="335">
        <f>'Katalogdaten M3G045'!AM16</f>
        <v>47.360182971799667</v>
      </c>
      <c r="S16" s="338">
        <f>'Katalogdaten M3G045'!AN16</f>
        <v>8.4</v>
      </c>
      <c r="T16" s="339">
        <f>'Katalogdaten M3G045'!AO16</f>
        <v>74</v>
      </c>
      <c r="U16" s="367"/>
      <c r="V16" s="367"/>
      <c r="W16" s="403">
        <f>IF($M$3="metric",950,37.4)</f>
        <v>950</v>
      </c>
      <c r="X16" s="368">
        <f>F16</f>
        <v>100</v>
      </c>
      <c r="Y16" s="332">
        <f>IF($M$3="metric",'Katalogdaten M3G045'!T16,'Katalogdaten M3G045'!T16*3.412)</f>
        <v>556.34745361877197</v>
      </c>
      <c r="Z16" s="332">
        <f>IF($M$3="metric",'Katalogdaten M3G045'!U16,'Katalogdaten M3G045'!U16*3.412)</f>
        <v>556.34745361877197</v>
      </c>
      <c r="AA16" s="333">
        <f>IF($M$3="metric",'Katalogdaten M3G045'!V16,('Katalogdaten M3G045'!V16*1.8+32))</f>
        <v>19.951187874914901</v>
      </c>
      <c r="AB16" s="334">
        <f>IF($M$3="metric",'Katalogdaten M3G045'!W16,'Katalogdaten M3G045'!W16*0.00440287)</f>
        <v>239.16159831403164</v>
      </c>
      <c r="AC16" s="335">
        <f>IF($M$3="metric",'Katalogdaten M3G045'!X16,'Katalogdaten M3G045'!X16*0.335)</f>
        <v>19.976845333225828</v>
      </c>
      <c r="AD16" s="369">
        <f>IF($M$3="metric",'Katalogdaten M3G045'!Y16,'Katalogdaten M3G045'!Y16*0.00440287*60)</f>
        <v>0</v>
      </c>
      <c r="AE16" s="370">
        <f>'Katalogdaten M3G045'!Z16</f>
        <v>81.186472596679721</v>
      </c>
      <c r="AF16" s="333">
        <f>IF($M$3="metric",'Katalogdaten M3G045'!AA16,('Katalogdaten M3G045'!AA16*1.8+32))</f>
        <v>17.665093062457071</v>
      </c>
      <c r="AG16" s="336">
        <f>IF($M$3="metric",'Katalogdaten M3G045'!AB16,'Katalogdaten M3G045'!AB16*3.412)</f>
        <v>517.42715325026063</v>
      </c>
      <c r="AH16" s="332">
        <f>IF($M$3="metric",'Katalogdaten M3G045'!AC16,'Katalogdaten M3G045'!AC16*3.412)</f>
        <v>517.42715325026063</v>
      </c>
      <c r="AI16" s="333">
        <f>IF($M$3="metric",'Katalogdaten M3G045'!AD16,('Katalogdaten M3G045'!AD16*1.8+32))</f>
        <v>20.47927878900596</v>
      </c>
      <c r="AJ16" s="334">
        <f>IF($M$3="metric",'Katalogdaten M3G045'!AE16,'Katalogdaten M3G045'!AE16*0.00440287)</f>
        <v>222.43061269982644</v>
      </c>
      <c r="AK16" s="335">
        <f>IF($M$3="metric",'Katalogdaten M3G045'!AF16,'Katalogdaten M3G045'!AF16*0.335)</f>
        <v>12.020301504533444</v>
      </c>
      <c r="AL16" s="369">
        <f>IF($M$3="metric",'Katalogdaten M3G045'!AG16,'Katalogdaten M3G045'!AG16*0.00440287*60)</f>
        <v>0</v>
      </c>
      <c r="AM16" s="370">
        <f>'Katalogdaten M3G045'!AH16</f>
        <v>78.447911285645915</v>
      </c>
      <c r="AN16" s="335">
        <f>IF($M$3="metric",'Katalogdaten M3G045'!AI16,('Katalogdaten M3G045'!AI16*1.8+32))</f>
        <v>17.834706107406465</v>
      </c>
      <c r="AP16" s="109">
        <v>100</v>
      </c>
      <c r="AQ16" s="110">
        <v>1205</v>
      </c>
      <c r="AR16" s="109">
        <f t="array" ref="AR16:AS16">LINEST(AQ16:AQ20,AP16:AP20)</f>
        <v>11.349999999999998</v>
      </c>
      <c r="AS16" s="109">
        <v>66.000000000000114</v>
      </c>
      <c r="AU16" s="109">
        <v>380</v>
      </c>
      <c r="AV16">
        <v>420</v>
      </c>
      <c r="AW16">
        <f>(AV16-AU16)/AU16</f>
        <v>0.10526315789473684</v>
      </c>
      <c r="AX16">
        <v>100</v>
      </c>
      <c r="AY16">
        <f>AX16^2</f>
        <v>10000</v>
      </c>
      <c r="AZ16" s="214">
        <v>220</v>
      </c>
      <c r="BA16" s="194">
        <v>39.360182971799667</v>
      </c>
      <c r="BB16" s="195">
        <v>47.360182971799667</v>
      </c>
      <c r="BC16" s="200">
        <v>8.4</v>
      </c>
      <c r="BD16" s="205">
        <v>74</v>
      </c>
      <c r="BE16">
        <f t="array" ref="BE16:BG16">LINEST(BB16:BB20,AX16:AY20)</f>
        <v>1.0455861161341262E-3</v>
      </c>
      <c r="BF16">
        <v>0.24822337676301406</v>
      </c>
      <c r="BG16">
        <v>12.886318596577954</v>
      </c>
      <c r="BH16">
        <f t="array" ref="BH16:BJ16">LINEST(BC16:BC20,AX16:AY20)</f>
        <v>1.4642857142857142E-3</v>
      </c>
      <c r="BI16">
        <v>-8.9714285714285719E-2</v>
      </c>
      <c r="BJ16">
        <v>2.6200000000000019</v>
      </c>
      <c r="BK16">
        <f t="array" ref="BK16:BM16">LINEST(BD16:BD20,AX16:AY20)</f>
        <v>1.2321428571428572E-2</v>
      </c>
      <c r="BL16">
        <v>-0.79357142857142848</v>
      </c>
      <c r="BM16">
        <v>29.6</v>
      </c>
      <c r="BP16" s="250" t="e">
        <f>BP5*#REF!</f>
        <v>#REF!</v>
      </c>
      <c r="BQ16" s="250" t="e">
        <f t="shared" ref="BQ16:BQ45" si="1">BP16-AL16</f>
        <v>#REF!</v>
      </c>
      <c r="BR16" s="249" t="e">
        <f>BQ16/#REF!</f>
        <v>#REF!</v>
      </c>
      <c r="BS16" s="251" t="e">
        <f t="shared" ref="BS16:BS45" si="2">(BR16*461.5*298)/(2.1931E-44*(AI16+273.15)^19.062)</f>
        <v>#REF!</v>
      </c>
      <c r="BT16" s="101" t="e">
        <f t="shared" ref="BT16:BT45" si="3">-5.809+0.058*BS16*100+0.697*AI16+0.003*AI16*BS16*100</f>
        <v>#REF!</v>
      </c>
    </row>
    <row r="17" spans="2:72" x14ac:dyDescent="0.3">
      <c r="B17" s="117">
        <f>IF(ISNUMBER(VLOOKUP($E$16,$AU$16:$AV$41,2,0)),VLOOKUP($E$16,$AU$16:$AV$41,2,0),$E$16*(1+$AW$14))*C17</f>
        <v>487.2</v>
      </c>
      <c r="C17" s="253">
        <v>1.1599999999999999</v>
      </c>
      <c r="D17" s="404"/>
      <c r="E17" s="407"/>
      <c r="F17" s="365">
        <v>80</v>
      </c>
      <c r="G17" s="366">
        <f t="shared" si="0"/>
        <v>985</v>
      </c>
      <c r="H17" s="332">
        <f>IF($M$3="metric",'Katalogdaten M3G045'!H17,'Katalogdaten M3G045'!H17*3.412)</f>
        <v>2344.3641537939793</v>
      </c>
      <c r="I17" s="333">
        <f>IF($M$3="metric",'Katalogdaten M3G045'!I17,('Katalogdaten M3G045'!I17*1.8+32))</f>
        <v>59.686270183246357</v>
      </c>
      <c r="J17" s="334">
        <f>IF($M$3="metric",'Katalogdaten M3G045'!J17,'Katalogdaten M3G045'!J17*0.00440287)</f>
        <v>201.55817175203197</v>
      </c>
      <c r="K17" s="335">
        <f>IF($M$3="metric",'Katalogdaten M3G045'!K17,'Katalogdaten M3G045'!K17*0.335)</f>
        <v>14.618945556650891</v>
      </c>
      <c r="L17" s="336">
        <f>IF($M$3="metric",'Katalogdaten M3G045'!L17,'Katalogdaten M3G045'!L17*3.412)</f>
        <v>1414.8276288977272</v>
      </c>
      <c r="M17" s="333">
        <f>IF($M$3="metric",'Katalogdaten M3G045'!M17,('Katalogdaten M3G045'!M17*1.8+32))</f>
        <v>41.757509627920804</v>
      </c>
      <c r="N17" s="334">
        <f>IF($M$3="metric",'Katalogdaten M3G045'!N17,'Katalogdaten M3G045'!N17*0.00440287)</f>
        <v>121.6406886973536</v>
      </c>
      <c r="O17" s="335">
        <f>IF($M$3="metric",'Katalogdaten M3G045'!O17,'Katalogdaten M3G045'!O17*0.335)</f>
        <v>0.84313940321304648</v>
      </c>
      <c r="P17" s="337">
        <f>IF($M$3="metric",'Katalogdaten M3G045'!AK17*0.277778,'Katalogdaten M3G045'!AK17*0.5886)</f>
        <v>48.611150000000002</v>
      </c>
      <c r="Q17" s="335">
        <f>'Katalogdaten M3G045'!AL17</f>
        <v>32.950672290633172</v>
      </c>
      <c r="R17" s="335">
        <f>'Katalogdaten M3G045'!AM17</f>
        <v>40.950672290633172</v>
      </c>
      <c r="S17" s="340">
        <f>'Katalogdaten M3G045'!AN17</f>
        <v>4.5999999999999996</v>
      </c>
      <c r="T17" s="341">
        <f>'Katalogdaten M3G045'!AO17</f>
        <v>44</v>
      </c>
      <c r="U17" s="367"/>
      <c r="V17" s="367"/>
      <c r="W17" s="404"/>
      <c r="X17" s="368">
        <f t="shared" ref="X17:X45" si="4">F17</f>
        <v>80</v>
      </c>
      <c r="Y17" s="332">
        <f>IF($M$3="metric",'Katalogdaten M3G045'!T17,'Katalogdaten M3G045'!T17*3.412)</f>
        <v>480.66907982725377</v>
      </c>
      <c r="Z17" s="332">
        <f>IF($M$3="metric",'Katalogdaten M3G045'!U17,'Katalogdaten M3G045'!U17*3.412)</f>
        <v>480.66907982725377</v>
      </c>
      <c r="AA17" s="333">
        <f>IF($M$3="metric",'Katalogdaten M3G045'!V17,('Katalogdaten M3G045'!V17*1.8+32))</f>
        <v>19.300953862221682</v>
      </c>
      <c r="AB17" s="334">
        <f>IF($M$3="metric",'Katalogdaten M3G045'!W17,'Katalogdaten M3G045'!W17*0.00440287)</f>
        <v>206.62912114340995</v>
      </c>
      <c r="AC17" s="335">
        <f>IF($M$3="metric",'Katalogdaten M3G045'!X17,'Katalogdaten M3G045'!X17*0.335)</f>
        <v>15.297277875108612</v>
      </c>
      <c r="AD17" s="369">
        <f>IF($M$3="metric",'Katalogdaten M3G045'!Y17,'Katalogdaten M3G045'!Y17*0.00440287*60)</f>
        <v>0</v>
      </c>
      <c r="AE17" s="370">
        <f>'Katalogdaten M3G045'!Z17</f>
        <v>84.697319153406809</v>
      </c>
      <c r="AF17" s="333">
        <f>IF($M$3="metric",'Katalogdaten M3G045'!AA17,('Katalogdaten M3G045'!AA17*1.8+32))</f>
        <v>17.460426500567415</v>
      </c>
      <c r="AG17" s="336">
        <f>IF($M$3="metric",'Katalogdaten M3G045'!AB17,'Katalogdaten M3G045'!AB17*3.412)</f>
        <v>449.15255160924488</v>
      </c>
      <c r="AH17" s="332">
        <f>IF($M$3="metric",'Katalogdaten M3G045'!AC17,'Katalogdaten M3G045'!AC17*3.412)</f>
        <v>449.15255160924488</v>
      </c>
      <c r="AI17" s="333">
        <f>IF($M$3="metric",'Katalogdaten M3G045'!AD17,('Katalogdaten M3G045'!AD17*1.8+32))</f>
        <v>19.838549226281536</v>
      </c>
      <c r="AJ17" s="334">
        <f>IF($M$3="metric",'Katalogdaten M3G045'!AE17,'Katalogdaten M3G045'!AE17*0.00440287)</f>
        <v>193.08085519395661</v>
      </c>
      <c r="AK17" s="335">
        <f>IF($M$3="metric",'Katalogdaten M3G045'!AF17,'Katalogdaten M3G045'!AF17*0.335)</f>
        <v>9.3988613909986167</v>
      </c>
      <c r="AL17" s="369">
        <f>IF($M$3="metric",'Katalogdaten M3G045'!AG17,'Katalogdaten M3G045'!AG17*0.00440287*60)</f>
        <v>0</v>
      </c>
      <c r="AM17" s="370">
        <f>'Katalogdaten M3G045'!AH17</f>
        <v>81.783504373178232</v>
      </c>
      <c r="AN17" s="335">
        <f>IF($M$3="metric",'Katalogdaten M3G045'!AI17,('Katalogdaten M3G045'!AI17*1.8+32))</f>
        <v>17.629310296577891</v>
      </c>
      <c r="AP17" s="109">
        <v>80</v>
      </c>
      <c r="AQ17" s="110">
        <v>985</v>
      </c>
      <c r="AV17"/>
      <c r="AX17">
        <v>80</v>
      </c>
      <c r="AY17">
        <f t="shared" ref="AY17:AY45" si="5">AX17^2</f>
        <v>6400</v>
      </c>
      <c r="AZ17" s="214">
        <v>175</v>
      </c>
      <c r="BA17" s="194">
        <v>32.950672290633172</v>
      </c>
      <c r="BB17" s="195">
        <v>40.950672290633172</v>
      </c>
      <c r="BC17" s="201">
        <v>4.5999999999999996</v>
      </c>
      <c r="BD17" s="206">
        <v>44</v>
      </c>
      <c r="BE17">
        <f>BE16</f>
        <v>1.0455861161341262E-3</v>
      </c>
      <c r="BF17">
        <f t="shared" ref="BF17:BH20" si="6">BF16</f>
        <v>0.24822337676301406</v>
      </c>
      <c r="BG17">
        <f t="shared" si="6"/>
        <v>12.886318596577954</v>
      </c>
      <c r="BH17">
        <f>BH16</f>
        <v>1.4642857142857142E-3</v>
      </c>
      <c r="BI17">
        <f t="shared" ref="BI17:BK20" si="7">BI16</f>
        <v>-8.9714285714285719E-2</v>
      </c>
      <c r="BJ17">
        <f t="shared" si="7"/>
        <v>2.6200000000000019</v>
      </c>
      <c r="BK17">
        <f>BK16</f>
        <v>1.2321428571428572E-2</v>
      </c>
      <c r="BL17">
        <f t="shared" ref="BL17:BM20" si="8">BL16</f>
        <v>-0.79357142857142848</v>
      </c>
      <c r="BM17">
        <f t="shared" si="8"/>
        <v>29.6</v>
      </c>
      <c r="BO17" s="249">
        <f t="shared" ref="BO17:BO45" si="9">($AB$5/100)*$BO$5/(461.5*298)</f>
        <v>1.2503647585511141E-2</v>
      </c>
      <c r="BP17" s="250" t="e">
        <f>BO17*#REF!</f>
        <v>#REF!</v>
      </c>
      <c r="BQ17" s="250" t="e">
        <f t="shared" si="1"/>
        <v>#REF!</v>
      </c>
      <c r="BR17" s="249" t="e">
        <f>BQ17/#REF!</f>
        <v>#REF!</v>
      </c>
      <c r="BS17" s="251" t="e">
        <f t="shared" si="2"/>
        <v>#REF!</v>
      </c>
      <c r="BT17" s="101" t="e">
        <f t="shared" si="3"/>
        <v>#REF!</v>
      </c>
    </row>
    <row r="18" spans="2:72" x14ac:dyDescent="0.3">
      <c r="B18" s="117">
        <f>IF(ISNUMBER(VLOOKUP($E$16,$AU$16:$AV$41,2,0)),VLOOKUP($E$16,$AU$16:$AV$41,2,0),$E$16*(1+$AW$14))*C18</f>
        <v>558.6</v>
      </c>
      <c r="C18" s="253">
        <v>1.33</v>
      </c>
      <c r="D18" s="404"/>
      <c r="E18" s="407"/>
      <c r="F18" s="365">
        <v>60</v>
      </c>
      <c r="G18" s="366">
        <f t="shared" si="0"/>
        <v>735</v>
      </c>
      <c r="H18" s="332">
        <f>IF($M$3="metric",'Katalogdaten M3G045'!H18,'Katalogdaten M3G045'!H18*3.412)</f>
        <v>1715.9236456710062</v>
      </c>
      <c r="I18" s="333">
        <f>IF($M$3="metric",'Katalogdaten M3G045'!I18,('Katalogdaten M3G045'!I18*1.8+32))</f>
        <v>61.756230424626942</v>
      </c>
      <c r="J18" s="334">
        <f>IF($M$3="metric",'Katalogdaten M3G045'!J18,'Katalogdaten M3G045'!J18*0.00440287)</f>
        <v>147.52760671920905</v>
      </c>
      <c r="K18" s="335">
        <f>IF($M$3="metric",'Katalogdaten M3G045'!K18,'Katalogdaten M3G045'!K18*0.335)</f>
        <v>8.2703684120009324</v>
      </c>
      <c r="L18" s="336">
        <f>IF($M$3="metric",'Katalogdaten M3G045'!L18,'Katalogdaten M3G045'!L18*3.412)</f>
        <v>1129.1171363911649</v>
      </c>
      <c r="M18" s="333">
        <f>IF($M$3="metric",'Katalogdaten M3G045'!M18,('Katalogdaten M3G045'!M18*1.8+32))</f>
        <v>44.893063271417496</v>
      </c>
      <c r="N18" s="334">
        <f>IF($M$3="metric",'Katalogdaten M3G045'!N18,'Katalogdaten M3G045'!N18*0.00440287)</f>
        <v>97.076550729794462</v>
      </c>
      <c r="O18" s="335">
        <f>IF($M$3="metric",'Katalogdaten M3G045'!O18,'Katalogdaten M3G045'!O18*0.335)</f>
        <v>0.59417887720219886</v>
      </c>
      <c r="P18" s="337">
        <f>IF($M$3="metric",'Katalogdaten M3G045'!AK18*0.277778,'Katalogdaten M3G045'!AK18*0.5886)</f>
        <v>34.722250000000003</v>
      </c>
      <c r="Q18" s="335">
        <f>'Katalogdaten M3G045'!AL18</f>
        <v>23.825640765700399</v>
      </c>
      <c r="R18" s="335">
        <f>'Katalogdaten M3G045'!AM18</f>
        <v>31.825640765700399</v>
      </c>
      <c r="S18" s="340">
        <f>'Katalogdaten M3G045'!AN18</f>
        <v>2.5</v>
      </c>
      <c r="T18" s="341">
        <f>'Katalogdaten M3G045'!AO18</f>
        <v>26</v>
      </c>
      <c r="U18" s="367"/>
      <c r="V18" s="367"/>
      <c r="W18" s="404"/>
      <c r="X18" s="368">
        <f t="shared" si="4"/>
        <v>60</v>
      </c>
      <c r="Y18" s="332">
        <f>IF($M$3="metric",'Katalogdaten M3G045'!T18,'Katalogdaten M3G045'!T18*3.412)</f>
        <v>362.4356491598989</v>
      </c>
      <c r="Z18" s="332">
        <f>IF($M$3="metric",'Katalogdaten M3G045'!U18,'Katalogdaten M3G045'!U18*3.412)</f>
        <v>362.4356491598989</v>
      </c>
      <c r="AA18" s="333">
        <f>IF($M$3="metric",'Katalogdaten M3G045'!V18,('Katalogdaten M3G045'!V18*1.8+32))</f>
        <v>18.844820318569578</v>
      </c>
      <c r="AB18" s="334">
        <f>IF($M$3="metric",'Katalogdaten M3G045'!W18,'Katalogdaten M3G045'!W18*0.00440287)</f>
        <v>155.80315605877036</v>
      </c>
      <c r="AC18" s="335">
        <f>IF($M$3="metric",'Katalogdaten M3G045'!X18,'Katalogdaten M3G045'!X18*0.335)</f>
        <v>9.1367602221882134</v>
      </c>
      <c r="AD18" s="369">
        <f>IF($M$3="metric",'Katalogdaten M3G045'!Y18,'Katalogdaten M3G045'!Y18*0.00440287*60)</f>
        <v>0</v>
      </c>
      <c r="AE18" s="370">
        <f>'Katalogdaten M3G045'!Z18</f>
        <v>87.255274948749246</v>
      </c>
      <c r="AF18" s="333">
        <f>IF($M$3="metric",'Katalogdaten M3G045'!AA18,('Katalogdaten M3G045'!AA18*1.8+32))</f>
        <v>17.319575643840146</v>
      </c>
      <c r="AG18" s="336">
        <f>IF($M$3="metric",'Katalogdaten M3G045'!AB18,'Katalogdaten M3G045'!AB18*3.412)</f>
        <v>340.99491408954793</v>
      </c>
      <c r="AH18" s="332">
        <f>IF($M$3="metric",'Katalogdaten M3G045'!AC18,'Katalogdaten M3G045'!AC18*3.412)</f>
        <v>340.99491408954793</v>
      </c>
      <c r="AI18" s="333">
        <f>IF($M$3="metric",'Katalogdaten M3G045'!AD18,('Katalogdaten M3G045'!AD18*1.8+32))</f>
        <v>19.356837872488406</v>
      </c>
      <c r="AJ18" s="334">
        <f>IF($M$3="metric",'Katalogdaten M3G045'!AE18,'Katalogdaten M3G045'!AE18*0.00440287)</f>
        <v>146.58625314117995</v>
      </c>
      <c r="AK18" s="335">
        <f>IF($M$3="metric",'Katalogdaten M3G045'!AF18,'Katalogdaten M3G045'!AF18*0.335)</f>
        <v>5.8219802345211535</v>
      </c>
      <c r="AL18" s="369">
        <f>IF($M$3="metric",'Katalogdaten M3G045'!AG18,'Katalogdaten M3G045'!AG18*0.00440287*60)</f>
        <v>0</v>
      </c>
      <c r="AM18" s="370">
        <f>'Katalogdaten M3G045'!AH18</f>
        <v>84.389397301164223</v>
      </c>
      <c r="AN18" s="335">
        <f>IF($M$3="metric",'Katalogdaten M3G045'!AI18,('Katalogdaten M3G045'!AI18*1.8+32))</f>
        <v>17.477836685738882</v>
      </c>
      <c r="AP18" s="109">
        <v>60</v>
      </c>
      <c r="AQ18" s="110">
        <v>735</v>
      </c>
      <c r="AV18"/>
      <c r="AX18">
        <v>60</v>
      </c>
      <c r="AY18">
        <f t="shared" si="5"/>
        <v>3600</v>
      </c>
      <c r="AZ18" s="214">
        <v>125</v>
      </c>
      <c r="BA18" s="194">
        <v>23.825640765700399</v>
      </c>
      <c r="BB18" s="195">
        <v>31.825640765700399</v>
      </c>
      <c r="BC18" s="201">
        <v>2.5</v>
      </c>
      <c r="BD18" s="206">
        <v>26</v>
      </c>
      <c r="BE18">
        <f t="shared" ref="BE18:BE20" si="10">BE17</f>
        <v>1.0455861161341262E-3</v>
      </c>
      <c r="BF18">
        <f t="shared" si="6"/>
        <v>0.24822337676301406</v>
      </c>
      <c r="BG18">
        <f t="shared" si="6"/>
        <v>12.886318596577954</v>
      </c>
      <c r="BH18">
        <f t="shared" si="6"/>
        <v>1.4642857142857142E-3</v>
      </c>
      <c r="BI18">
        <f t="shared" si="7"/>
        <v>-8.9714285714285719E-2</v>
      </c>
      <c r="BJ18">
        <f t="shared" si="7"/>
        <v>2.6200000000000019</v>
      </c>
      <c r="BK18">
        <f t="shared" si="7"/>
        <v>1.2321428571428572E-2</v>
      </c>
      <c r="BL18">
        <f t="shared" si="8"/>
        <v>-0.79357142857142848</v>
      </c>
      <c r="BM18">
        <f t="shared" si="8"/>
        <v>29.6</v>
      </c>
      <c r="BO18" s="249">
        <f t="shared" si="9"/>
        <v>1.2503647585511141E-2</v>
      </c>
      <c r="BP18" s="250" t="e">
        <f>BO18*#REF!</f>
        <v>#REF!</v>
      </c>
      <c r="BQ18" s="250" t="e">
        <f t="shared" si="1"/>
        <v>#REF!</v>
      </c>
      <c r="BR18" s="249" t="e">
        <f>BQ18/#REF!</f>
        <v>#REF!</v>
      </c>
      <c r="BS18" s="251" t="e">
        <f t="shared" si="2"/>
        <v>#REF!</v>
      </c>
      <c r="BT18" s="101" t="e">
        <f t="shared" si="3"/>
        <v>#REF!</v>
      </c>
    </row>
    <row r="19" spans="2:72" x14ac:dyDescent="0.3">
      <c r="B19" s="117">
        <f>IF(ISNUMBER(VLOOKUP($E$16,$AU$16:$AV$41,2,0)),VLOOKUP($E$16,$AU$16:$AV$41,2,0),$E$16*(1+$AW$14))*C19</f>
        <v>625.79999999999995</v>
      </c>
      <c r="C19" s="253">
        <v>1.49</v>
      </c>
      <c r="D19" s="404"/>
      <c r="E19" s="407"/>
      <c r="F19" s="365">
        <v>40</v>
      </c>
      <c r="G19" s="366">
        <f t="shared" si="0"/>
        <v>495</v>
      </c>
      <c r="H19" s="332">
        <f>IF($M$3="metric",'Katalogdaten M3G045'!H19,'Katalogdaten M3G045'!H19*3.412)</f>
        <v>1125.9086806316166</v>
      </c>
      <c r="I19" s="333">
        <f>IF($M$3="metric",'Katalogdaten M3G045'!I19,('Katalogdaten M3G045'!I19*1.8+32))</f>
        <v>64.706612617979047</v>
      </c>
      <c r="J19" s="334">
        <f>IF($M$3="metric",'Katalogdaten M3G045'!J19,'Katalogdaten M3G045'!J19*0.00440287)</f>
        <v>96.800701742769434</v>
      </c>
      <c r="K19" s="335">
        <f>IF($M$3="metric",'Katalogdaten M3G045'!K19,'Katalogdaten M3G045'!K19*0.335)</f>
        <v>3.832535301485871</v>
      </c>
      <c r="L19" s="336">
        <f>IF($M$3="metric",'Katalogdaten M3G045'!L19,'Katalogdaten M3G045'!L19*3.412)</f>
        <v>832.65077085766256</v>
      </c>
      <c r="M19" s="333">
        <f>IF($M$3="metric",'Katalogdaten M3G045'!M19,('Katalogdaten M3G045'!M19*1.8+32))</f>
        <v>50.053289004439137</v>
      </c>
      <c r="N19" s="334">
        <f>IF($M$3="metric",'Katalogdaten M3G045'!N19,'Katalogdaten M3G045'!N19*0.00440287)</f>
        <v>71.587669863655094</v>
      </c>
      <c r="O19" s="335">
        <f>IF($M$3="metric",'Katalogdaten M3G045'!O19,'Katalogdaten M3G045'!O19*0.335)</f>
        <v>0.37042820861962278</v>
      </c>
      <c r="P19" s="337">
        <f>IF($M$3="metric",'Katalogdaten M3G045'!AK19*0.277778,'Katalogdaten M3G045'!AK19*0.5886)</f>
        <v>20.833350000000003</v>
      </c>
      <c r="Q19" s="335">
        <f>'Katalogdaten M3G045'!AL19</f>
        <v>14.597712982812446</v>
      </c>
      <c r="R19" s="335">
        <f>'Katalogdaten M3G045'!AM19</f>
        <v>22.597712982812446</v>
      </c>
      <c r="S19" s="340">
        <f>'Katalogdaten M3G045'!AN19</f>
        <v>1.6</v>
      </c>
      <c r="T19" s="341">
        <f>'Katalogdaten M3G045'!AO19</f>
        <v>19</v>
      </c>
      <c r="U19" s="367"/>
      <c r="V19" s="367"/>
      <c r="W19" s="404"/>
      <c r="X19" s="368">
        <f t="shared" si="4"/>
        <v>40</v>
      </c>
      <c r="Y19" s="332">
        <f>IF($M$3="metric",'Katalogdaten M3G045'!T19,'Katalogdaten M3G045'!T19*3.412)</f>
        <v>229.8156441771292</v>
      </c>
      <c r="Z19" s="332">
        <f>IF($M$3="metric",'Katalogdaten M3G045'!U19,'Katalogdaten M3G045'!U19*3.412)</f>
        <v>229.8156441771292</v>
      </c>
      <c r="AA19" s="333">
        <f>IF($M$3="metric",'Katalogdaten M3G045'!V19,('Katalogdaten M3G045'!V19*1.8+32))</f>
        <v>18.353108689467497</v>
      </c>
      <c r="AB19" s="334">
        <f>IF($M$3="metric",'Katalogdaten M3G045'!W19,'Katalogdaten M3G045'!W19*0.00440287)</f>
        <v>98.792717431279101</v>
      </c>
      <c r="AC19" s="335">
        <f>IF($M$3="metric",'Katalogdaten M3G045'!X19,'Katalogdaten M3G045'!X19*0.335)</f>
        <v>3.9777220196374863</v>
      </c>
      <c r="AD19" s="369">
        <f>IF($M$3="metric",'Katalogdaten M3G045'!Y19,'Katalogdaten M3G045'!Y19*0.00440287*60)</f>
        <v>0</v>
      </c>
      <c r="AE19" s="370">
        <f>'Katalogdaten M3G045'!Z19</f>
        <v>90.104038308767073</v>
      </c>
      <c r="AF19" s="333">
        <f>IF($M$3="metric",'Katalogdaten M3G045'!AA19,('Katalogdaten M3G045'!AA19*1.8+32))</f>
        <v>17.170218603789571</v>
      </c>
      <c r="AG19" s="336">
        <f>IF($M$3="metric",'Katalogdaten M3G045'!AB19,'Katalogdaten M3G045'!AB19*3.412)</f>
        <v>218.22568995774532</v>
      </c>
      <c r="AH19" s="332">
        <f>IF($M$3="metric",'Katalogdaten M3G045'!AC19,'Katalogdaten M3G045'!AC19*3.412)</f>
        <v>218.22568995774532</v>
      </c>
      <c r="AI19" s="333">
        <f>IF($M$3="metric",'Katalogdaten M3G045'!AD19,('Katalogdaten M3G045'!AD19*1.8+32))</f>
        <v>18.814400399691728</v>
      </c>
      <c r="AJ19" s="334">
        <f>IF($M$3="metric",'Katalogdaten M3G045'!AE19,'Katalogdaten M3G045'!AE19*0.00440287)</f>
        <v>93.810449682115134</v>
      </c>
      <c r="AK19" s="335">
        <f>IF($M$3="metric",'Katalogdaten M3G045'!AF19,'Katalogdaten M3G045'!AF19*0.335)</f>
        <v>2.6796394563976609</v>
      </c>
      <c r="AL19" s="369">
        <f>IF($M$3="metric",'Katalogdaten M3G045'!AG19,'Katalogdaten M3G045'!AG19*0.00440287*60)</f>
        <v>0</v>
      </c>
      <c r="AM19" s="370">
        <f>'Katalogdaten M3G045'!AH19</f>
        <v>87.42873401508885</v>
      </c>
      <c r="AN19" s="335">
        <f>IF($M$3="metric",'Katalogdaten M3G045'!AI19,('Katalogdaten M3G045'!AI19*1.8+32))</f>
        <v>17.310261276054376</v>
      </c>
      <c r="AP19" s="109">
        <v>40</v>
      </c>
      <c r="AQ19" s="110">
        <v>495</v>
      </c>
      <c r="AV19"/>
      <c r="AX19">
        <v>40</v>
      </c>
      <c r="AY19">
        <f t="shared" si="5"/>
        <v>1600</v>
      </c>
      <c r="AZ19" s="214">
        <v>75</v>
      </c>
      <c r="BA19" s="194">
        <v>14.597712982812446</v>
      </c>
      <c r="BB19" s="195">
        <v>22.597712982812446</v>
      </c>
      <c r="BC19" s="201">
        <v>1.6</v>
      </c>
      <c r="BD19" s="206">
        <v>19</v>
      </c>
      <c r="BE19">
        <f t="shared" si="10"/>
        <v>1.0455861161341262E-3</v>
      </c>
      <c r="BF19">
        <f t="shared" si="6"/>
        <v>0.24822337676301406</v>
      </c>
      <c r="BG19">
        <f t="shared" si="6"/>
        <v>12.886318596577954</v>
      </c>
      <c r="BH19">
        <f t="shared" si="6"/>
        <v>1.4642857142857142E-3</v>
      </c>
      <c r="BI19">
        <f t="shared" si="7"/>
        <v>-8.9714285714285719E-2</v>
      </c>
      <c r="BJ19">
        <f t="shared" si="7"/>
        <v>2.6200000000000019</v>
      </c>
      <c r="BK19">
        <f t="shared" si="7"/>
        <v>1.2321428571428572E-2</v>
      </c>
      <c r="BL19">
        <f t="shared" si="8"/>
        <v>-0.79357142857142848</v>
      </c>
      <c r="BM19">
        <f t="shared" si="8"/>
        <v>29.6</v>
      </c>
      <c r="BO19" s="249">
        <f t="shared" si="9"/>
        <v>1.2503647585511141E-2</v>
      </c>
      <c r="BP19" s="250" t="e">
        <f>BO19*#REF!</f>
        <v>#REF!</v>
      </c>
      <c r="BQ19" s="250" t="e">
        <f t="shared" si="1"/>
        <v>#REF!</v>
      </c>
      <c r="BR19" s="249" t="e">
        <f>BQ19/#REF!</f>
        <v>#REF!</v>
      </c>
      <c r="BS19" s="251" t="e">
        <f t="shared" si="2"/>
        <v>#REF!</v>
      </c>
      <c r="BT19" s="101" t="e">
        <f t="shared" si="3"/>
        <v>#REF!</v>
      </c>
    </row>
    <row r="20" spans="2:72" x14ac:dyDescent="0.3">
      <c r="B20" s="117">
        <f>IF(ISNUMBER(VLOOKUP($E$16,$AU$16:$AV$41,2,0)),VLOOKUP($E$16,$AU$16:$AV$41,2,0),$E$16*(1+$AW$14))*C20</f>
        <v>697.19999999999993</v>
      </c>
      <c r="C20" s="253">
        <v>1.66</v>
      </c>
      <c r="D20" s="405"/>
      <c r="E20" s="408"/>
      <c r="F20" s="371">
        <v>20</v>
      </c>
      <c r="G20" s="366">
        <f t="shared" si="0"/>
        <v>315</v>
      </c>
      <c r="H20" s="342">
        <f>IF($M$3="metric",'Katalogdaten M3G045'!H20,'Katalogdaten M3G045'!H20*3.412)</f>
        <v>695.46307957173497</v>
      </c>
      <c r="I20" s="333">
        <f>IF($M$3="metric",'Katalogdaten M3G045'!I20,('Katalogdaten M3G045'!I20*1.8+32))</f>
        <v>68.287839183088565</v>
      </c>
      <c r="J20" s="343">
        <f>IF($M$3="metric",'Katalogdaten M3G045'!J20,'Katalogdaten M3G045'!J20*0.00440287)</f>
        <v>59.792872456552409</v>
      </c>
      <c r="K20" s="344">
        <f>IF($M$3="metric",'Katalogdaten M3G045'!K20,'Katalogdaten M3G045'!K20*0.335)</f>
        <v>1.5905941697673904</v>
      </c>
      <c r="L20" s="345">
        <f>IF($M$3="metric",'Katalogdaten M3G045'!L20,'Katalogdaten M3G045'!L20*3.412)</f>
        <v>587.79184570227471</v>
      </c>
      <c r="M20" s="333">
        <f>IF($M$3="metric",'Katalogdaten M3G045'!M20,('Katalogdaten M3G045'!M20*1.8+32))</f>
        <v>57.281332343406859</v>
      </c>
      <c r="N20" s="343">
        <f>IF($M$3="metric",'Katalogdaten M3G045'!N20,'Katalogdaten M3G045'!N20*0.00440287)</f>
        <v>50.53577090349691</v>
      </c>
      <c r="O20" s="344">
        <f>IF($M$3="metric",'Katalogdaten M3G045'!O20,'Katalogdaten M3G045'!O20*0.335)</f>
        <v>0.21580989450560972</v>
      </c>
      <c r="P20" s="337">
        <f>IF($M$3="metric",'Katalogdaten M3G045'!AK20*0.277778,'Katalogdaten M3G045'!AK20*0.5886)</f>
        <v>11.111120000000001</v>
      </c>
      <c r="Q20" s="344">
        <f>'Katalogdaten M3G045'!AL20</f>
        <v>11.167291555799096</v>
      </c>
      <c r="R20" s="344">
        <f>'Katalogdaten M3G045'!AM20</f>
        <v>19.167291555799096</v>
      </c>
      <c r="S20" s="346">
        <f>'Katalogdaten M3G045'!AN20</f>
        <v>1.3</v>
      </c>
      <c r="T20" s="347">
        <f>'Katalogdaten M3G045'!AO20</f>
        <v>18</v>
      </c>
      <c r="U20" s="367"/>
      <c r="V20" s="367"/>
      <c r="W20" s="405"/>
      <c r="X20" s="372">
        <f t="shared" si="4"/>
        <v>20</v>
      </c>
      <c r="Y20" s="342">
        <f>IF($M$3="metric",'Katalogdaten M3G045'!T20,'Katalogdaten M3G045'!T20*3.412)</f>
        <v>128.94132595201515</v>
      </c>
      <c r="Z20" s="342">
        <f>IF($M$3="metric",'Katalogdaten M3G045'!U20,'Katalogdaten M3G045'!U20*3.412)</f>
        <v>128.94132595201515</v>
      </c>
      <c r="AA20" s="333">
        <f>IF($M$3="metric",'Katalogdaten M3G045'!V20,('Katalogdaten M3G045'!V20*1.8+32))</f>
        <v>17.877512988655589</v>
      </c>
      <c r="AB20" s="343">
        <f>IF($M$3="metric",'Katalogdaten M3G045'!W20,'Katalogdaten M3G045'!W20*0.00440287)</f>
        <v>55.429054995811271</v>
      </c>
      <c r="AC20" s="344">
        <f>IF($M$3="metric",'Katalogdaten M3G045'!X20,'Katalogdaten M3G045'!X20*0.335)</f>
        <v>1.3851025390027971</v>
      </c>
      <c r="AD20" s="373">
        <f>IF($M$3="metric",'Katalogdaten M3G045'!Y20,'Katalogdaten M3G045'!Y20*0.00440287*60)</f>
        <v>0</v>
      </c>
      <c r="AE20" s="343">
        <f>'Katalogdaten M3G045'!Z20</f>
        <v>92.952683386599119</v>
      </c>
      <c r="AF20" s="333">
        <f>IF($M$3="metric",'Katalogdaten M3G045'!AA20,('Katalogdaten M3G045'!AA20*1.8+32))</f>
        <v>17.028170603238642</v>
      </c>
      <c r="AG20" s="345">
        <f>IF($M$3="metric",'Katalogdaten M3G045'!AB20,'Katalogdaten M3G045'!AB20*3.412)</f>
        <v>123.7378275954177</v>
      </c>
      <c r="AH20" s="342">
        <f>IF($M$3="metric",'Katalogdaten M3G045'!AC20,'Katalogdaten M3G045'!AC20*3.412)</f>
        <v>123.7378275954177</v>
      </c>
      <c r="AI20" s="333">
        <f>IF($M$3="metric",'Katalogdaten M3G045'!AD20,('Katalogdaten M3G045'!AD20*1.8+32))</f>
        <v>18.265833761535994</v>
      </c>
      <c r="AJ20" s="343">
        <f>IF($M$3="metric",'Katalogdaten M3G045'!AE20,'Katalogdaten M3G045'!AE20*0.00440287)</f>
        <v>53.192184896571014</v>
      </c>
      <c r="AK20" s="344">
        <f>IF($M$3="metric",'Katalogdaten M3G045'!AF20,'Katalogdaten M3G045'!AF20*0.335)</f>
        <v>0.99931883624845808</v>
      </c>
      <c r="AL20" s="373">
        <f>IF($M$3="metric",'Katalogdaten M3G045'!AG20,'Katalogdaten M3G045'!AG20*0.00440287*60)</f>
        <v>0</v>
      </c>
      <c r="AM20" s="343">
        <f>'Katalogdaten M3G045'!AH20</f>
        <v>90.619817841673353</v>
      </c>
      <c r="AN20" s="335">
        <f>IF($M$3="metric",'Katalogdaten M3G045'!AI20,('Katalogdaten M3G045'!AI20*1.8+32))</f>
        <v>17.143975151197676</v>
      </c>
      <c r="AP20" s="109">
        <v>20</v>
      </c>
      <c r="AQ20" s="110">
        <v>315</v>
      </c>
      <c r="AU20" s="109">
        <v>630</v>
      </c>
      <c r="AV20">
        <v>710</v>
      </c>
      <c r="AW20">
        <f t="shared" ref="AW20" si="11">(AV20-AU20)/AU20</f>
        <v>0.12698412698412698</v>
      </c>
      <c r="AX20">
        <v>20</v>
      </c>
      <c r="AY20">
        <f t="shared" si="5"/>
        <v>400</v>
      </c>
      <c r="AZ20" s="215">
        <v>40</v>
      </c>
      <c r="BA20" s="196">
        <v>11.167291555799096</v>
      </c>
      <c r="BB20" s="197">
        <v>19.167291555799096</v>
      </c>
      <c r="BC20" s="203">
        <v>1.3</v>
      </c>
      <c r="BD20" s="207">
        <v>18</v>
      </c>
      <c r="BE20">
        <f t="shared" si="10"/>
        <v>1.0455861161341262E-3</v>
      </c>
      <c r="BF20">
        <f t="shared" si="6"/>
        <v>0.24822337676301406</v>
      </c>
      <c r="BG20">
        <f t="shared" si="6"/>
        <v>12.886318596577954</v>
      </c>
      <c r="BH20">
        <f t="shared" si="6"/>
        <v>1.4642857142857142E-3</v>
      </c>
      <c r="BI20">
        <f t="shared" si="7"/>
        <v>-8.9714285714285719E-2</v>
      </c>
      <c r="BJ20">
        <f t="shared" si="7"/>
        <v>2.6200000000000019</v>
      </c>
      <c r="BK20">
        <f t="shared" si="7"/>
        <v>1.2321428571428572E-2</v>
      </c>
      <c r="BL20">
        <f t="shared" si="8"/>
        <v>-0.79357142857142848</v>
      </c>
      <c r="BM20">
        <f t="shared" si="8"/>
        <v>29.6</v>
      </c>
      <c r="BO20" s="249">
        <f t="shared" si="9"/>
        <v>1.2503647585511141E-2</v>
      </c>
      <c r="BP20" s="250" t="e">
        <f>BO20*#REF!</f>
        <v>#REF!</v>
      </c>
      <c r="BQ20" s="250" t="e">
        <f t="shared" si="1"/>
        <v>#REF!</v>
      </c>
      <c r="BR20" s="249" t="e">
        <f>BQ20/#REF!</f>
        <v>#REF!</v>
      </c>
      <c r="BS20" s="251" t="e">
        <f t="shared" si="2"/>
        <v>#REF!</v>
      </c>
      <c r="BT20" s="101" t="e">
        <f t="shared" si="3"/>
        <v>#REF!</v>
      </c>
    </row>
    <row r="21" spans="2:72" x14ac:dyDescent="0.3">
      <c r="B21" s="117">
        <f>IF(ISNUMBER(VLOOKUP($E$21,$AU$16:$AV$41,2,0)),VLOOKUP($E$21,$AU$16:$AV$41,2,0),$E$21*(1+$AW$14))*C21</f>
        <v>710</v>
      </c>
      <c r="C21" s="253">
        <v>1</v>
      </c>
      <c r="D21" s="403">
        <f>IF($M$3="metric",1200,47.2)</f>
        <v>1200</v>
      </c>
      <c r="E21" s="406">
        <v>630</v>
      </c>
      <c r="F21" s="365">
        <v>100</v>
      </c>
      <c r="G21" s="366">
        <f t="shared" si="0"/>
        <v>1205</v>
      </c>
      <c r="H21" s="332">
        <f>IF($M$3="metric",'Katalogdaten M3G045'!H21,'Katalogdaten M3G045'!H21*3.412)</f>
        <v>4913.0810982207586</v>
      </c>
      <c r="I21" s="348">
        <f>IF($M$3="metric",'Katalogdaten M3G045'!I21,('Katalogdaten M3G045'!I21*1.8+32))</f>
        <v>58.462150968657845</v>
      </c>
      <c r="J21" s="334">
        <f>IF($M$3="metric",'Katalogdaten M3G045'!J21,'Katalogdaten M3G045'!J21*0.00440287)</f>
        <v>422.40521474628622</v>
      </c>
      <c r="K21" s="335">
        <f>IF($M$3="metric",'Katalogdaten M3G045'!K21,'Katalogdaten M3G045'!K21*0.335)</f>
        <v>72.345445499067054</v>
      </c>
      <c r="L21" s="336">
        <f>IF($M$3="metric",'Katalogdaten M3G045'!L21,'Katalogdaten M3G045'!L21*3.412)</f>
        <v>2793.6240161105466</v>
      </c>
      <c r="M21" s="348">
        <f>IF($M$3="metric",'Katalogdaten M3G045'!M21,('Katalogdaten M3G045'!M21*1.8+32))</f>
        <v>40.951557419946298</v>
      </c>
      <c r="N21" s="334">
        <f>IF($M$3="metric",'Katalogdaten M3G045'!N21,'Katalogdaten M3G045'!N21*0.00440287)</f>
        <v>240.18356889588134</v>
      </c>
      <c r="O21" s="335">
        <f>IF($M$3="metric",'Katalogdaten M3G045'!O21,'Katalogdaten M3G045'!O21*0.335)</f>
        <v>4.6304414591404202</v>
      </c>
      <c r="P21" s="349">
        <f>IF($M$3="metric",'Katalogdaten M3G045'!AK21*0.277778,'Katalogdaten M3G045'!AK21*0.5886)</f>
        <v>101.38897000000001</v>
      </c>
      <c r="Q21" s="335">
        <f>'Katalogdaten M3G045'!AL21</f>
        <v>41.555752500167372</v>
      </c>
      <c r="R21" s="335">
        <f>'Katalogdaten M3G045'!AM21</f>
        <v>49.555752500167372</v>
      </c>
      <c r="S21" s="338">
        <f>'Katalogdaten M3G045'!AN21</f>
        <v>16.100000000000001</v>
      </c>
      <c r="T21" s="339">
        <f>'Katalogdaten M3G045'!AO21</f>
        <v>143</v>
      </c>
      <c r="U21" s="367"/>
      <c r="V21" s="367"/>
      <c r="W21" s="403">
        <f>IF($M$3="metric",1200,47.2)</f>
        <v>1200</v>
      </c>
      <c r="X21" s="368">
        <f t="shared" si="4"/>
        <v>100</v>
      </c>
      <c r="Y21" s="332">
        <f>IF($M$3="metric",'Katalogdaten M3G045'!T21,'Katalogdaten M3G045'!T21*3.412)</f>
        <v>940.49212397459064</v>
      </c>
      <c r="Z21" s="332">
        <f>IF($M$3="metric",'Katalogdaten M3G045'!U21,'Katalogdaten M3G045'!U21*3.412)</f>
        <v>940.49212397459064</v>
      </c>
      <c r="AA21" s="348">
        <f>IF($M$3="metric",'Katalogdaten M3G045'!V21,('Katalogdaten M3G045'!V21*1.8+32))</f>
        <v>19.808385819058756</v>
      </c>
      <c r="AB21" s="334">
        <f>IF($M$3="metric",'Katalogdaten M3G045'!W21,'Katalogdaten M3G045'!W21*0.00440287)</f>
        <v>404.29698762610104</v>
      </c>
      <c r="AC21" s="335">
        <f>IF($M$3="metric",'Katalogdaten M3G045'!X21,'Katalogdaten M3G045'!X21*0.335)</f>
        <v>66.937484583208231</v>
      </c>
      <c r="AD21" s="369">
        <f>IF($M$3="metric",'Katalogdaten M3G045'!Y21,'Katalogdaten M3G045'!Y21*0.00440287*60)</f>
        <v>0</v>
      </c>
      <c r="AE21" s="374">
        <f>'Katalogdaten M3G045'!Z21</f>
        <v>81.944166132892477</v>
      </c>
      <c r="AF21" s="348">
        <f>IF($M$3="metric",'Katalogdaten M3G045'!AA21,('Katalogdaten M3G045'!AA21*1.8+32))</f>
        <v>17.619751526735861</v>
      </c>
      <c r="AG21" s="336">
        <f>IF($M$3="metric",'Katalogdaten M3G045'!AB21,'Katalogdaten M3G045'!AB21*3.412)</f>
        <v>874.69828287544055</v>
      </c>
      <c r="AH21" s="332">
        <f>IF($M$3="metric",'Katalogdaten M3G045'!AC21,'Katalogdaten M3G045'!AC21*3.412)</f>
        <v>874.69828287544055</v>
      </c>
      <c r="AI21" s="348">
        <f>IF($M$3="metric",'Katalogdaten M3G045'!AD21,('Katalogdaten M3G045'!AD21*1.8+32))</f>
        <v>20.346466711302877</v>
      </c>
      <c r="AJ21" s="334">
        <f>IF($M$3="metric",'Katalogdaten M3G045'!AE21,'Katalogdaten M3G045'!AE21*0.00440287)</f>
        <v>376.01365480208756</v>
      </c>
      <c r="AK21" s="335">
        <f>IF($M$3="metric",'Katalogdaten M3G045'!AF21,'Katalogdaten M3G045'!AF21*0.335)</f>
        <v>44.311319074169759</v>
      </c>
      <c r="AL21" s="369">
        <f>IF($M$3="metric",'Katalogdaten M3G045'!AG21,'Katalogdaten M3G045'!AG21*0.00440287*60)</f>
        <v>0</v>
      </c>
      <c r="AM21" s="374">
        <f>'Katalogdaten M3G045'!AH21</f>
        <v>79.127365671477847</v>
      </c>
      <c r="AN21" s="375">
        <f>IF($M$3="metric",'Katalogdaten M3G045'!AI21,('Katalogdaten M3G045'!AI21*1.8+32))</f>
        <v>17.791761441487264</v>
      </c>
      <c r="AQ21" s="110"/>
      <c r="AV21">
        <v>710</v>
      </c>
      <c r="AX21">
        <v>100</v>
      </c>
      <c r="AY21">
        <f t="shared" si="5"/>
        <v>10000</v>
      </c>
      <c r="AZ21" s="214">
        <v>365</v>
      </c>
      <c r="BA21" s="194">
        <v>41.555752500167372</v>
      </c>
      <c r="BB21" s="195">
        <v>49.555752500167372</v>
      </c>
      <c r="BC21" s="200">
        <v>16.100000000000001</v>
      </c>
      <c r="BD21" s="205">
        <v>143</v>
      </c>
      <c r="BE21">
        <f t="array" ref="BE21:BG21">LINEST(BB21:BB25,AX21:AY25)</f>
        <v>1.0455861161341236E-3</v>
      </c>
      <c r="BF21">
        <v>0.24822337676301429</v>
      </c>
      <c r="BG21">
        <v>15.081888124945664</v>
      </c>
      <c r="BH21">
        <f t="array" ref="BH21:BJ21">LINEST(BC21:BC25,AX21:AY25)</f>
        <v>2.8392857142857148E-3</v>
      </c>
      <c r="BI21">
        <v>-0.1772142857142858</v>
      </c>
      <c r="BJ21">
        <v>5.2200000000000042</v>
      </c>
      <c r="BK21">
        <f t="array" ref="BK21:BM21">LINEST(BD21:BD25,AX21:AY25)</f>
        <v>2.3750000000000004E-2</v>
      </c>
      <c r="BL21">
        <v>-1.5250000000000004</v>
      </c>
      <c r="BM21">
        <v>56.600000000000009</v>
      </c>
      <c r="BO21" s="249">
        <f t="shared" si="9"/>
        <v>1.2503647585511141E-2</v>
      </c>
      <c r="BP21" s="250" t="e">
        <f>BO21*#REF!</f>
        <v>#REF!</v>
      </c>
      <c r="BQ21" s="250" t="e">
        <f t="shared" si="1"/>
        <v>#REF!</v>
      </c>
      <c r="BR21" s="249" t="e">
        <f>BQ21/#REF!</f>
        <v>#REF!</v>
      </c>
      <c r="BS21" s="251" t="e">
        <f t="shared" si="2"/>
        <v>#REF!</v>
      </c>
      <c r="BT21" s="101" t="e">
        <f t="shared" si="3"/>
        <v>#REF!</v>
      </c>
    </row>
    <row r="22" spans="2:72" x14ac:dyDescent="0.3">
      <c r="B22" s="117">
        <f>IF(ISNUMBER(VLOOKUP($E$21,$AU$16:$AV$41,2,0)),VLOOKUP($E$21,$AU$16:$AV$41,2,0),$E$21*(1+$AW$14))*C22</f>
        <v>823.59999999999991</v>
      </c>
      <c r="C22" s="253">
        <v>1.1599999999999999</v>
      </c>
      <c r="D22" s="404"/>
      <c r="E22" s="407"/>
      <c r="F22" s="365">
        <v>80</v>
      </c>
      <c r="G22" s="366">
        <f t="shared" si="0"/>
        <v>985</v>
      </c>
      <c r="H22" s="332">
        <f>IF($M$3="metric",'Katalogdaten M3G045'!H22,'Katalogdaten M3G045'!H22*3.412)</f>
        <v>3963.0917837945844</v>
      </c>
      <c r="I22" s="333">
        <f>IF($M$3="metric",'Katalogdaten M3G045'!I22,('Katalogdaten M3G045'!I22*1.8+32))</f>
        <v>59.820493359641169</v>
      </c>
      <c r="J22" s="334">
        <f>IF($M$3="metric",'Katalogdaten M3G045'!J22,'Katalogdaten M3G045'!J22*0.00440287)</f>
        <v>340.72929034272067</v>
      </c>
      <c r="K22" s="335">
        <f>IF($M$3="metric",'Katalogdaten M3G045'!K22,'Katalogdaten M3G045'!K22*0.335)</f>
        <v>49.423844186390205</v>
      </c>
      <c r="L22" s="336">
        <f>IF($M$3="metric",'Katalogdaten M3G045'!L22,'Katalogdaten M3G045'!L22*3.412)</f>
        <v>2391.7324202794912</v>
      </c>
      <c r="M22" s="333">
        <f>IF($M$3="metric",'Katalogdaten M3G045'!M22,('Katalogdaten M3G045'!M22*1.8+32))</f>
        <v>42.684229078644343</v>
      </c>
      <c r="N22" s="334">
        <f>IF($M$3="metric",'Katalogdaten M3G045'!N22,'Katalogdaten M3G045'!N22*0.00440287)</f>
        <v>205.63068803600248</v>
      </c>
      <c r="O22" s="335">
        <f>IF($M$3="metric",'Katalogdaten M3G045'!O22,'Katalogdaten M3G045'!O22*0.335)</f>
        <v>3.5510326882390237</v>
      </c>
      <c r="P22" s="337">
        <f>IF($M$3="metric",'Katalogdaten M3G045'!AK22*0.277778,'Katalogdaten M3G045'!AK22*0.5886)</f>
        <v>80.555620000000005</v>
      </c>
      <c r="Q22" s="335">
        <f>'Katalogdaten M3G045'!AL22</f>
        <v>35.146241819000892</v>
      </c>
      <c r="R22" s="335">
        <f>'Katalogdaten M3G045'!AM22</f>
        <v>43.146241819000892</v>
      </c>
      <c r="S22" s="340">
        <f>'Katalogdaten M3G045'!AN22</f>
        <v>8.8000000000000007</v>
      </c>
      <c r="T22" s="341">
        <f>'Katalogdaten M3G045'!AO22</f>
        <v>84</v>
      </c>
      <c r="U22" s="367"/>
      <c r="V22" s="367"/>
      <c r="W22" s="404"/>
      <c r="X22" s="368">
        <f t="shared" si="4"/>
        <v>80</v>
      </c>
      <c r="Y22" s="332">
        <f>IF($M$3="metric",'Katalogdaten M3G045'!T22,'Katalogdaten M3G045'!T22*3.412)</f>
        <v>812.55963494607192</v>
      </c>
      <c r="Z22" s="332">
        <f>IF($M$3="metric",'Katalogdaten M3G045'!U22,'Katalogdaten M3G045'!U22*3.412)</f>
        <v>812.55963494607192</v>
      </c>
      <c r="AA22" s="333">
        <f>IF($M$3="metric",'Katalogdaten M3G045'!V22,('Katalogdaten M3G045'!V22*1.8+32))</f>
        <v>19.136030520369822</v>
      </c>
      <c r="AB22" s="334">
        <f>IF($M$3="metric",'Katalogdaten M3G045'!W22,'Katalogdaten M3G045'!W22*0.00440287)</f>
        <v>349.30160955195493</v>
      </c>
      <c r="AC22" s="335">
        <f>IF($M$3="metric",'Katalogdaten M3G045'!X22,'Katalogdaten M3G045'!X22*0.335)</f>
        <v>51.650119711355551</v>
      </c>
      <c r="AD22" s="369">
        <f>IF($M$3="metric",'Katalogdaten M3G045'!Y22,'Katalogdaten M3G045'!Y22*0.00440287*60)</f>
        <v>0</v>
      </c>
      <c r="AE22" s="370">
        <f>'Katalogdaten M3G045'!Z22</f>
        <v>85.612963301504038</v>
      </c>
      <c r="AF22" s="333">
        <f>IF($M$3="metric",'Katalogdaten M3G045'!AA22,('Katalogdaten M3G045'!AA22*1.8+32))</f>
        <v>17.409241980215647</v>
      </c>
      <c r="AG22" s="336">
        <f>IF($M$3="metric",'Katalogdaten M3G045'!AB22,'Katalogdaten M3G045'!AB22*3.412)</f>
        <v>759.28169438705663</v>
      </c>
      <c r="AH22" s="332">
        <f>IF($M$3="metric",'Katalogdaten M3G045'!AC22,'Katalogdaten M3G045'!AC22*3.412)</f>
        <v>759.28169438705663</v>
      </c>
      <c r="AI22" s="333">
        <f>IF($M$3="metric",'Katalogdaten M3G045'!AD22,('Katalogdaten M3G045'!AD22*1.8+32))</f>
        <v>19.684439584281456</v>
      </c>
      <c r="AJ22" s="334">
        <f>IF($M$3="metric",'Katalogdaten M3G045'!AE22,'Katalogdaten M3G045'!AE22*0.00440287)</f>
        <v>326.39858854216465</v>
      </c>
      <c r="AK22" s="335">
        <f>IF($M$3="metric",'Katalogdaten M3G045'!AF22,'Katalogdaten M3G045'!AF22*0.335)</f>
        <v>34.388345654171502</v>
      </c>
      <c r="AL22" s="369">
        <f>IF($M$3="metric",'Katalogdaten M3G045'!AG22,'Katalogdaten M3G045'!AG22*0.00440287*60)</f>
        <v>0</v>
      </c>
      <c r="AM22" s="370">
        <f>'Katalogdaten M3G045'!AH22</f>
        <v>82.60784593958644</v>
      </c>
      <c r="AN22" s="335">
        <f>IF($M$3="metric",'Katalogdaten M3G045'!AI22,('Katalogdaten M3G045'!AI22*1.8+32))</f>
        <v>17.580576912496447</v>
      </c>
      <c r="AQ22" s="110"/>
      <c r="AV22">
        <v>710</v>
      </c>
      <c r="AX22">
        <v>80</v>
      </c>
      <c r="AY22">
        <f t="shared" si="5"/>
        <v>6400</v>
      </c>
      <c r="AZ22" s="214">
        <v>290</v>
      </c>
      <c r="BA22" s="194">
        <v>35.146241819000892</v>
      </c>
      <c r="BB22" s="195">
        <v>43.146241819000892</v>
      </c>
      <c r="BC22" s="201">
        <v>8.8000000000000007</v>
      </c>
      <c r="BD22" s="206">
        <v>84</v>
      </c>
      <c r="BE22">
        <f>BE21</f>
        <v>1.0455861161341236E-3</v>
      </c>
      <c r="BF22">
        <f t="shared" ref="BF22:BH25" si="12">BF21</f>
        <v>0.24822337676301429</v>
      </c>
      <c r="BG22">
        <f t="shared" si="12"/>
        <v>15.081888124945664</v>
      </c>
      <c r="BH22">
        <f>BH21</f>
        <v>2.8392857142857148E-3</v>
      </c>
      <c r="BI22">
        <f t="shared" ref="BI22:BK25" si="13">BI21</f>
        <v>-0.1772142857142858</v>
      </c>
      <c r="BJ22">
        <f t="shared" si="13"/>
        <v>5.2200000000000042</v>
      </c>
      <c r="BK22">
        <f>BK21</f>
        <v>2.3750000000000004E-2</v>
      </c>
      <c r="BL22">
        <f t="shared" ref="BL22:BM25" si="14">BL21</f>
        <v>-1.5250000000000004</v>
      </c>
      <c r="BM22">
        <f t="shared" si="14"/>
        <v>56.600000000000009</v>
      </c>
      <c r="BO22" s="249">
        <f t="shared" si="9"/>
        <v>1.2503647585511141E-2</v>
      </c>
      <c r="BP22" s="250" t="e">
        <f>BO22*#REF!</f>
        <v>#REF!</v>
      </c>
      <c r="BQ22" s="250" t="e">
        <f t="shared" si="1"/>
        <v>#REF!</v>
      </c>
      <c r="BR22" s="249" t="e">
        <f>BQ22/#REF!</f>
        <v>#REF!</v>
      </c>
      <c r="BS22" s="251" t="e">
        <f t="shared" si="2"/>
        <v>#REF!</v>
      </c>
      <c r="BT22" s="101" t="e">
        <f t="shared" si="3"/>
        <v>#REF!</v>
      </c>
    </row>
    <row r="23" spans="2:72" x14ac:dyDescent="0.3">
      <c r="B23" s="117">
        <f>IF(ISNUMBER(VLOOKUP($E$21,$AU$16:$AV$41,2,0)),VLOOKUP($E$21,$AU$16:$AV$41,2,0),$E$21*(1+$AW$14))*C23</f>
        <v>944.30000000000007</v>
      </c>
      <c r="C23" s="253">
        <v>1.33</v>
      </c>
      <c r="D23" s="404"/>
      <c r="E23" s="407"/>
      <c r="F23" s="365">
        <v>60</v>
      </c>
      <c r="G23" s="366">
        <f t="shared" si="0"/>
        <v>735</v>
      </c>
      <c r="H23" s="332">
        <f>IF($M$3="metric",'Katalogdaten M3G045'!H23,'Katalogdaten M3G045'!H23*3.412)</f>
        <v>2900.7280676819387</v>
      </c>
      <c r="I23" s="333">
        <f>IF($M$3="metric",'Katalogdaten M3G045'!I23,('Katalogdaten M3G045'!I23*1.8+32))</f>
        <v>61.885858897367775</v>
      </c>
      <c r="J23" s="334">
        <f>IF($M$3="metric",'Katalogdaten M3G045'!J23,'Katalogdaten M3G045'!J23*0.00440287)</f>
        <v>249.39190659675808</v>
      </c>
      <c r="K23" s="335">
        <f>IF($M$3="metric",'Katalogdaten M3G045'!K23,'Katalogdaten M3G045'!K23*0.335)</f>
        <v>28.41972325002131</v>
      </c>
      <c r="L23" s="336">
        <f>IF($M$3="metric",'Katalogdaten M3G045'!L23,'Katalogdaten M3G045'!L23*3.412)</f>
        <v>1908.7456353279215</v>
      </c>
      <c r="M23" s="333">
        <f>IF($M$3="metric",'Katalogdaten M3G045'!M23,('Katalogdaten M3G045'!M23*1.8+32))</f>
        <v>45.755715933620351</v>
      </c>
      <c r="N23" s="334">
        <f>IF($M$3="metric",'Katalogdaten M3G045'!N23,'Katalogdaten M3G045'!N23*0.00440287)</f>
        <v>164.10559766227158</v>
      </c>
      <c r="O23" s="335">
        <f>IF($M$3="metric",'Katalogdaten M3G045'!O23,'Katalogdaten M3G045'!O23*0.335)</f>
        <v>2.4151987500278365</v>
      </c>
      <c r="P23" s="337">
        <f>IF($M$3="metric",'Katalogdaten M3G045'!AK23*0.277778,'Katalogdaten M3G045'!AK23*0.5886)</f>
        <v>56.944490000000002</v>
      </c>
      <c r="Q23" s="335">
        <f>'Katalogdaten M3G045'!AL23</f>
        <v>26.021210294068112</v>
      </c>
      <c r="R23" s="335">
        <f>'Katalogdaten M3G045'!AM23</f>
        <v>34.021210294068112</v>
      </c>
      <c r="S23" s="340">
        <f>'Katalogdaten M3G045'!AN23</f>
        <v>4.8</v>
      </c>
      <c r="T23" s="341">
        <f>'Katalogdaten M3G045'!AO23</f>
        <v>50</v>
      </c>
      <c r="U23" s="367"/>
      <c r="V23" s="367"/>
      <c r="W23" s="404"/>
      <c r="X23" s="368">
        <f t="shared" si="4"/>
        <v>60</v>
      </c>
      <c r="Y23" s="332">
        <f>IF($M$3="metric",'Katalogdaten M3G045'!T23,'Katalogdaten M3G045'!T23*3.412)</f>
        <v>612.68883548459098</v>
      </c>
      <c r="Z23" s="332">
        <f>IF($M$3="metric",'Katalogdaten M3G045'!U23,'Katalogdaten M3G045'!U23*3.412)</f>
        <v>612.68883548459098</v>
      </c>
      <c r="AA23" s="333">
        <f>IF($M$3="metric",'Katalogdaten M3G045'!V23,('Katalogdaten M3G045'!V23*1.8+32))</f>
        <v>18.578429770883275</v>
      </c>
      <c r="AB23" s="334">
        <f>IF($M$3="metric",'Katalogdaten M3G045'!W23,'Katalogdaten M3G045'!W23*0.00440287)</f>
        <v>263.38152571839754</v>
      </c>
      <c r="AC23" s="335">
        <f>IF($M$3="metric",'Katalogdaten M3G045'!X23,'Katalogdaten M3G045'!X23*0.335)</f>
        <v>31.307610493007292</v>
      </c>
      <c r="AD23" s="369">
        <f>IF($M$3="metric",'Katalogdaten M3G045'!Y23,'Katalogdaten M3G045'!Y23*0.00440287*60)</f>
        <v>0</v>
      </c>
      <c r="AE23" s="370">
        <f>'Katalogdaten M3G045'!Z23</f>
        <v>88.786663874241611</v>
      </c>
      <c r="AF23" s="333">
        <f>IF($M$3="metric",'Katalogdaten M3G045'!AA23,('Katalogdaten M3G045'!AA23*1.8+32))</f>
        <v>17.238342453147506</v>
      </c>
      <c r="AG23" s="336">
        <f>IF($M$3="metric",'Katalogdaten M3G045'!AB23,'Katalogdaten M3G045'!AB23*3.412)</f>
        <v>576.44378334185478</v>
      </c>
      <c r="AH23" s="332">
        <f>IF($M$3="metric",'Katalogdaten M3G045'!AC23,'Katalogdaten M3G045'!AC23*3.412)</f>
        <v>576.44378334185478</v>
      </c>
      <c r="AI23" s="333">
        <f>IF($M$3="metric",'Katalogdaten M3G045'!AD23,('Katalogdaten M3G045'!AD23*1.8+32))</f>
        <v>19.106206285520862</v>
      </c>
      <c r="AJ23" s="334">
        <f>IF($M$3="metric",'Katalogdaten M3G045'!AE23,'Katalogdaten M3G045'!AE23*0.00440287)</f>
        <v>247.80057078628039</v>
      </c>
      <c r="AK23" s="335">
        <f>IF($M$3="metric",'Katalogdaten M3G045'!AF23,'Katalogdaten M3G045'!AF23*0.335)</f>
        <v>20.991987745625547</v>
      </c>
      <c r="AL23" s="369">
        <f>IF($M$3="metric",'Katalogdaten M3G045'!AG23,'Katalogdaten M3G045'!AG23*0.00440287*60)</f>
        <v>0</v>
      </c>
      <c r="AM23" s="370">
        <f>'Katalogdaten M3G045'!AH23</f>
        <v>85.779654955286844</v>
      </c>
      <c r="AN23" s="335">
        <f>IF($M$3="metric",'Katalogdaten M3G045'!AI23,('Katalogdaten M3G045'!AI23*1.8+32))</f>
        <v>17.400017116444211</v>
      </c>
      <c r="AQ23" s="110"/>
      <c r="AV23">
        <v>710</v>
      </c>
      <c r="AX23">
        <v>60</v>
      </c>
      <c r="AY23">
        <f t="shared" si="5"/>
        <v>3600</v>
      </c>
      <c r="AZ23" s="214">
        <v>205</v>
      </c>
      <c r="BA23" s="194">
        <v>26.021210294068112</v>
      </c>
      <c r="BB23" s="195">
        <v>34.021210294068112</v>
      </c>
      <c r="BC23" s="201">
        <v>4.8</v>
      </c>
      <c r="BD23" s="206">
        <v>50</v>
      </c>
      <c r="BE23">
        <f t="shared" ref="BE23:BE25" si="15">BE22</f>
        <v>1.0455861161341236E-3</v>
      </c>
      <c r="BF23">
        <f t="shared" si="12"/>
        <v>0.24822337676301429</v>
      </c>
      <c r="BG23">
        <f t="shared" si="12"/>
        <v>15.081888124945664</v>
      </c>
      <c r="BH23">
        <f t="shared" si="12"/>
        <v>2.8392857142857148E-3</v>
      </c>
      <c r="BI23">
        <f t="shared" si="13"/>
        <v>-0.1772142857142858</v>
      </c>
      <c r="BJ23">
        <f t="shared" si="13"/>
        <v>5.2200000000000042</v>
      </c>
      <c r="BK23">
        <f t="shared" si="13"/>
        <v>2.3750000000000004E-2</v>
      </c>
      <c r="BL23">
        <f t="shared" si="14"/>
        <v>-1.5250000000000004</v>
      </c>
      <c r="BM23">
        <f t="shared" si="14"/>
        <v>56.600000000000009</v>
      </c>
      <c r="BO23" s="249">
        <f t="shared" si="9"/>
        <v>1.2503647585511141E-2</v>
      </c>
      <c r="BP23" s="250" t="e">
        <f>BO23*#REF!</f>
        <v>#REF!</v>
      </c>
      <c r="BQ23" s="250" t="e">
        <f t="shared" si="1"/>
        <v>#REF!</v>
      </c>
      <c r="BR23" s="249" t="e">
        <f>BQ23/#REF!</f>
        <v>#REF!</v>
      </c>
      <c r="BS23" s="251" t="e">
        <f t="shared" si="2"/>
        <v>#REF!</v>
      </c>
      <c r="BT23" s="101" t="e">
        <f t="shared" si="3"/>
        <v>#REF!</v>
      </c>
    </row>
    <row r="24" spans="2:72" x14ac:dyDescent="0.3">
      <c r="B24" s="117">
        <f>IF(ISNUMBER(VLOOKUP($E$21,$AU$16:$AV$41,2,0)),VLOOKUP($E$21,$AU$16:$AV$41,2,0),$E$21*(1+$AW$14))*C24</f>
        <v>1057.9000000000001</v>
      </c>
      <c r="C24" s="253">
        <v>1.49</v>
      </c>
      <c r="D24" s="404"/>
      <c r="E24" s="407"/>
      <c r="F24" s="365">
        <v>40</v>
      </c>
      <c r="G24" s="366">
        <f t="shared" si="0"/>
        <v>495</v>
      </c>
      <c r="H24" s="332">
        <f>IF($M$3="metric",'Katalogdaten M3G045'!H24,'Katalogdaten M3G045'!H24*3.412)</f>
        <v>1903.321817258209</v>
      </c>
      <c r="I24" s="333">
        <f>IF($M$3="metric",'Katalogdaten M3G045'!I24,('Katalogdaten M3G045'!I24*1.8+32))</f>
        <v>64.831000396749843</v>
      </c>
      <c r="J24" s="334">
        <f>IF($M$3="metric",'Katalogdaten M3G045'!J24,'Katalogdaten M3G045'!J24*0.00440287)</f>
        <v>163.63928151753882</v>
      </c>
      <c r="K24" s="335">
        <f>IF($M$3="metric",'Katalogdaten M3G045'!K24,'Katalogdaten M3G045'!K24*0.335)</f>
        <v>13.462740675992485</v>
      </c>
      <c r="L24" s="336">
        <f>IF($M$3="metric",'Katalogdaten M3G045'!L24,'Katalogdaten M3G045'!L24*3.412)</f>
        <v>1407.576303116525</v>
      </c>
      <c r="M24" s="333">
        <f>IF($M$3="metric",'Katalogdaten M3G045'!M24,('Katalogdaten M3G045'!M24*1.8+32))</f>
        <v>50.845742720612051</v>
      </c>
      <c r="N24" s="334">
        <f>IF($M$3="metric",'Katalogdaten M3G045'!N24,'Katalogdaten M3G045'!N24*0.00440287)</f>
        <v>121.01725143617887</v>
      </c>
      <c r="O24" s="335">
        <f>IF($M$3="metric",'Katalogdaten M3G045'!O24,'Katalogdaten M3G045'!O24*0.335)</f>
        <v>1.4352232400557672</v>
      </c>
      <c r="P24" s="337">
        <f>IF($M$3="metric",'Katalogdaten M3G045'!AK24*0.277778,'Katalogdaten M3G045'!AK24*0.5886)</f>
        <v>34.722250000000003</v>
      </c>
      <c r="Q24" s="335">
        <f>'Katalogdaten M3G045'!AL24</f>
        <v>16.793282511180166</v>
      </c>
      <c r="R24" s="335">
        <f>'Katalogdaten M3G045'!AM24</f>
        <v>24.793282511180166</v>
      </c>
      <c r="S24" s="340">
        <f>'Katalogdaten M3G045'!AN24</f>
        <v>3.1</v>
      </c>
      <c r="T24" s="341">
        <f>'Katalogdaten M3G045'!AO24</f>
        <v>37</v>
      </c>
      <c r="U24" s="367"/>
      <c r="V24" s="367"/>
      <c r="W24" s="404"/>
      <c r="X24" s="368">
        <f t="shared" si="4"/>
        <v>40</v>
      </c>
      <c r="Y24" s="332">
        <f>IF($M$3="metric",'Katalogdaten M3G045'!T24,'Katalogdaten M3G045'!T24*3.412)</f>
        <v>388.49787468038511</v>
      </c>
      <c r="Z24" s="332">
        <f>IF($M$3="metric",'Katalogdaten M3G045'!U24,'Katalogdaten M3G045'!U24*3.412)</f>
        <v>388.49787468038511</v>
      </c>
      <c r="AA24" s="333">
        <f>IF($M$3="metric",'Katalogdaten M3G045'!V24,('Katalogdaten M3G045'!V24*1.8+32))</f>
        <v>18.222438813602743</v>
      </c>
      <c r="AB24" s="334">
        <f>IF($M$3="metric",'Katalogdaten M3G045'!W24,'Katalogdaten M3G045'!W24*0.00440287)</f>
        <v>167.00673661001943</v>
      </c>
      <c r="AC24" s="335">
        <f>IF($M$3="metric",'Katalogdaten M3G045'!X24,'Katalogdaten M3G045'!X24*0.335)</f>
        <v>13.957896143936738</v>
      </c>
      <c r="AD24" s="369">
        <f>IF($M$3="metric",'Katalogdaten M3G045'!Y24,'Katalogdaten M3G045'!Y24*0.00440287*60)</f>
        <v>0</v>
      </c>
      <c r="AE24" s="370">
        <f>'Katalogdaten M3G045'!Z24</f>
        <v>90.87743013649974</v>
      </c>
      <c r="AF24" s="333">
        <f>IF($M$3="metric",'Katalogdaten M3G045'!AA24,('Katalogdaten M3G045'!AA24*1.8+32))</f>
        <v>17.13095603159757</v>
      </c>
      <c r="AG24" s="336">
        <f>IF($M$3="metric",'Katalogdaten M3G045'!AB24,'Katalogdaten M3G045'!AB24*3.412)</f>
        <v>368.9053330238076</v>
      </c>
      <c r="AH24" s="332">
        <f>IF($M$3="metric",'Katalogdaten M3G045'!AC24,'Katalogdaten M3G045'!AC24*3.412)</f>
        <v>368.9053330238076</v>
      </c>
      <c r="AI24" s="333">
        <f>IF($M$3="metric",'Katalogdaten M3G045'!AD24,('Katalogdaten M3G045'!AD24*1.8+32))</f>
        <v>18.690320405401607</v>
      </c>
      <c r="AJ24" s="334">
        <f>IF($M$3="metric",'Katalogdaten M3G045'!AE24,'Katalogdaten M3G045'!AE24*0.00440287)</f>
        <v>158.58433160548037</v>
      </c>
      <c r="AK24" s="335">
        <f>IF($M$3="metric",'Katalogdaten M3G045'!AF24,'Katalogdaten M3G045'!AF24*0.335)</f>
        <v>9.4355276108478083</v>
      </c>
      <c r="AL24" s="369">
        <f>IF($M$3="metric",'Katalogdaten M3G045'!AG24,'Katalogdaten M3G045'!AG24*0.00440287*60)</f>
        <v>0</v>
      </c>
      <c r="AM24" s="370">
        <f>'Katalogdaten M3G045'!AH24</f>
        <v>88.140025317366593</v>
      </c>
      <c r="AN24" s="335">
        <f>IF($M$3="metric",'Katalogdaten M3G045'!AI24,('Katalogdaten M3G045'!AI24*1.8+32))</f>
        <v>17.272370732137553</v>
      </c>
      <c r="AQ24" s="110"/>
      <c r="AV24">
        <v>710</v>
      </c>
      <c r="AX24">
        <v>40</v>
      </c>
      <c r="AY24">
        <f t="shared" si="5"/>
        <v>1600</v>
      </c>
      <c r="AZ24" s="214">
        <v>125</v>
      </c>
      <c r="BA24" s="194">
        <v>16.793282511180166</v>
      </c>
      <c r="BB24" s="195">
        <v>24.793282511180166</v>
      </c>
      <c r="BC24" s="201">
        <v>3.1</v>
      </c>
      <c r="BD24" s="206">
        <v>37</v>
      </c>
      <c r="BE24">
        <f t="shared" si="15"/>
        <v>1.0455861161341236E-3</v>
      </c>
      <c r="BF24">
        <f t="shared" si="12"/>
        <v>0.24822337676301429</v>
      </c>
      <c r="BG24">
        <f t="shared" si="12"/>
        <v>15.081888124945664</v>
      </c>
      <c r="BH24">
        <f t="shared" si="12"/>
        <v>2.8392857142857148E-3</v>
      </c>
      <c r="BI24">
        <f t="shared" si="13"/>
        <v>-0.1772142857142858</v>
      </c>
      <c r="BJ24">
        <f t="shared" si="13"/>
        <v>5.2200000000000042</v>
      </c>
      <c r="BK24">
        <f t="shared" si="13"/>
        <v>2.3750000000000004E-2</v>
      </c>
      <c r="BL24">
        <f t="shared" si="14"/>
        <v>-1.5250000000000004</v>
      </c>
      <c r="BM24">
        <f t="shared" si="14"/>
        <v>56.600000000000009</v>
      </c>
      <c r="BO24" s="249">
        <f t="shared" si="9"/>
        <v>1.2503647585511141E-2</v>
      </c>
      <c r="BP24" s="250" t="e">
        <f>BO24*#REF!</f>
        <v>#REF!</v>
      </c>
      <c r="BQ24" s="250" t="e">
        <f t="shared" si="1"/>
        <v>#REF!</v>
      </c>
      <c r="BR24" s="249" t="e">
        <f>BQ24/#REF!</f>
        <v>#REF!</v>
      </c>
      <c r="BS24" s="251" t="e">
        <f t="shared" si="2"/>
        <v>#REF!</v>
      </c>
      <c r="BT24" s="101" t="e">
        <f t="shared" si="3"/>
        <v>#REF!</v>
      </c>
    </row>
    <row r="25" spans="2:72" x14ac:dyDescent="0.3">
      <c r="B25" s="117">
        <f>IF(ISNUMBER(VLOOKUP($E$21,$AU$16:$AV$41,2,0)),VLOOKUP($E$21,$AU$16:$AV$41,2,0),$E$21*(1+$AW$14))*C25</f>
        <v>1178.5999999999999</v>
      </c>
      <c r="C25" s="253">
        <v>1.66</v>
      </c>
      <c r="D25" s="405"/>
      <c r="E25" s="408"/>
      <c r="F25" s="371">
        <v>20</v>
      </c>
      <c r="G25" s="366">
        <f t="shared" si="0"/>
        <v>315</v>
      </c>
      <c r="H25" s="342">
        <f>IF($M$3="metric",'Katalogdaten M3G045'!H25,'Katalogdaten M3G045'!H25*3.412)</f>
        <v>1175.6637773712662</v>
      </c>
      <c r="I25" s="333">
        <f>IF($M$3="metric",'Katalogdaten M3G045'!I25,('Katalogdaten M3G045'!I25*1.8+32))</f>
        <v>68.406704404319171</v>
      </c>
      <c r="J25" s="343">
        <f>IF($M$3="metric",'Katalogdaten M3G045'!J25,'Katalogdaten M3G045'!J25*0.00440287)</f>
        <v>101.07842724798144</v>
      </c>
      <c r="K25" s="344">
        <f>IF($M$3="metric",'Katalogdaten M3G045'!K25,'Katalogdaten M3G045'!K25*0.335)</f>
        <v>5.7296548494885897</v>
      </c>
      <c r="L25" s="345">
        <f>IF($M$3="metric",'Katalogdaten M3G045'!L25,'Katalogdaten M3G045'!L25*3.412)</f>
        <v>993.6481201157502</v>
      </c>
      <c r="M25" s="333">
        <f>IF($M$3="metric",'Katalogdaten M3G045'!M25,('Katalogdaten M3G045'!M25*1.8+32))</f>
        <v>58.00311973515138</v>
      </c>
      <c r="N25" s="343">
        <f>IF($M$3="metric",'Katalogdaten M3G045'!N25,'Katalogdaten M3G045'!N25*0.00440287)</f>
        <v>85.429517479720971</v>
      </c>
      <c r="O25" s="344">
        <f>IF($M$3="metric",'Katalogdaten M3G045'!O25,'Katalogdaten M3G045'!O25*0.335)</f>
        <v>0.79155607873389011</v>
      </c>
      <c r="P25" s="337">
        <f>IF($M$3="metric",'Katalogdaten M3G045'!AK25*0.277778,'Katalogdaten M3G045'!AK25*0.5886)</f>
        <v>16.666680000000003</v>
      </c>
      <c r="Q25" s="344">
        <f>'Katalogdaten M3G045'!AL25</f>
        <v>13.362861084166816</v>
      </c>
      <c r="R25" s="344">
        <f>'Katalogdaten M3G045'!AM25</f>
        <v>21.362861084166816</v>
      </c>
      <c r="S25" s="350">
        <f>'Katalogdaten M3G045'!AN25</f>
        <v>2.6</v>
      </c>
      <c r="T25" s="351">
        <f>'Katalogdaten M3G045'!AO25</f>
        <v>34</v>
      </c>
      <c r="U25" s="367"/>
      <c r="V25" s="367"/>
      <c r="W25" s="405"/>
      <c r="X25" s="372">
        <f t="shared" si="4"/>
        <v>20</v>
      </c>
      <c r="Y25" s="342">
        <f>IF($M$3="metric",'Katalogdaten M3G045'!T25,'Katalogdaten M3G045'!T25*3.412)</f>
        <v>217.97224149031135</v>
      </c>
      <c r="Z25" s="342">
        <f>IF($M$3="metric",'Katalogdaten M3G045'!U25,'Katalogdaten M3G045'!U25*3.412)</f>
        <v>217.97224149031135</v>
      </c>
      <c r="AA25" s="333">
        <f>IF($M$3="metric",'Katalogdaten M3G045'!V25,('Katalogdaten M3G045'!V25*1.8+32))</f>
        <v>16.655609876103913</v>
      </c>
      <c r="AB25" s="343">
        <f>IF($M$3="metric",'Katalogdaten M3G045'!W25,'Katalogdaten M3G045'!W25*0.00440287)</f>
        <v>93.7014977310143</v>
      </c>
      <c r="AC25" s="344">
        <f>IF($M$3="metric",'Katalogdaten M3G045'!X25,'Katalogdaten M3G045'!X25*0.335)</f>
        <v>5.0092072872480999</v>
      </c>
      <c r="AD25" s="373">
        <f>IF($M$3="metric",'Katalogdaten M3G045'!Y25,'Katalogdaten M3G045'!Y25*0.00440287*60)</f>
        <v>0</v>
      </c>
      <c r="AE25" s="343">
        <f>'Katalogdaten M3G045'!Z25</f>
        <v>100.71476912126219</v>
      </c>
      <c r="AF25" s="333">
        <f>IF($M$3="metric",'Katalogdaten M3G045'!AA25,('Katalogdaten M3G045'!AA25*1.8+32))</f>
        <v>16.673814402414493</v>
      </c>
      <c r="AG25" s="345">
        <f>IF($M$3="metric",'Katalogdaten M3G045'!AB25,'Katalogdaten M3G045'!AB25*3.412)</f>
        <v>209.17585141130135</v>
      </c>
      <c r="AH25" s="342">
        <f>IF($M$3="metric",'Katalogdaten M3G045'!AC25,'Katalogdaten M3G045'!AC25*3.412)</f>
        <v>209.17585141130135</v>
      </c>
      <c r="AI25" s="333">
        <f>IF($M$3="metric",'Katalogdaten M3G045'!AD25,('Katalogdaten M3G045'!AD25*1.8+32))</f>
        <v>17.093241223318341</v>
      </c>
      <c r="AJ25" s="343">
        <f>IF($M$3="metric",'Katalogdaten M3G045'!AE25,'Katalogdaten M3G045'!AE25*0.00440287)</f>
        <v>89.920122087060534</v>
      </c>
      <c r="AK25" s="344">
        <f>IF($M$3="metric",'Katalogdaten M3G045'!AF25,'Katalogdaten M3G045'!AF25*0.335)</f>
        <v>3.4143644781108575</v>
      </c>
      <c r="AL25" s="373">
        <f>IF($M$3="metric",'Katalogdaten M3G045'!AG25,'Katalogdaten M3G045'!AG25*0.00440287*60)</f>
        <v>0</v>
      </c>
      <c r="AM25" s="343">
        <f>'Katalogdaten M3G045'!AH25</f>
        <v>97.859121580937952</v>
      </c>
      <c r="AN25" s="335">
        <f>IF($M$3="metric",'Katalogdaten M3G045'!AI25,('Katalogdaten M3G045'!AI25*1.8+32))</f>
        <v>16.799006897602318</v>
      </c>
      <c r="AQ25" s="110"/>
      <c r="AV25">
        <v>760</v>
      </c>
      <c r="AX25">
        <v>20</v>
      </c>
      <c r="AY25">
        <f t="shared" si="5"/>
        <v>400</v>
      </c>
      <c r="AZ25" s="215">
        <v>60</v>
      </c>
      <c r="BA25" s="196">
        <v>13.362861084166816</v>
      </c>
      <c r="BB25" s="197">
        <v>21.362861084166816</v>
      </c>
      <c r="BC25" s="202">
        <v>2.6</v>
      </c>
      <c r="BD25" s="208">
        <v>34</v>
      </c>
      <c r="BE25">
        <f t="shared" si="15"/>
        <v>1.0455861161341236E-3</v>
      </c>
      <c r="BF25">
        <f t="shared" si="12"/>
        <v>0.24822337676301429</v>
      </c>
      <c r="BG25">
        <f t="shared" si="12"/>
        <v>15.081888124945664</v>
      </c>
      <c r="BH25">
        <f t="shared" si="12"/>
        <v>2.8392857142857148E-3</v>
      </c>
      <c r="BI25">
        <f t="shared" si="13"/>
        <v>-0.1772142857142858</v>
      </c>
      <c r="BJ25">
        <f t="shared" si="13"/>
        <v>5.2200000000000042</v>
      </c>
      <c r="BK25">
        <f t="shared" si="13"/>
        <v>2.3750000000000004E-2</v>
      </c>
      <c r="BL25">
        <f t="shared" si="14"/>
        <v>-1.5250000000000004</v>
      </c>
      <c r="BM25">
        <f t="shared" si="14"/>
        <v>56.600000000000009</v>
      </c>
      <c r="BO25" s="249">
        <f t="shared" si="9"/>
        <v>1.2503647585511141E-2</v>
      </c>
      <c r="BP25" s="250" t="e">
        <f>BO25*#REF!</f>
        <v>#REF!</v>
      </c>
      <c r="BQ25" s="250" t="e">
        <f t="shared" si="1"/>
        <v>#REF!</v>
      </c>
      <c r="BR25" s="249" t="e">
        <f>BQ25/#REF!</f>
        <v>#REF!</v>
      </c>
      <c r="BS25" s="251" t="e">
        <f t="shared" si="2"/>
        <v>#REF!</v>
      </c>
      <c r="BT25" s="101" t="e">
        <f t="shared" si="3"/>
        <v>#REF!</v>
      </c>
    </row>
    <row r="26" spans="2:72" x14ac:dyDescent="0.3">
      <c r="B26" s="117">
        <f>IF(ISNUMBER(VLOOKUP($E$26,$AU$16:$AV$41,2,0)),VLOOKUP($E$26,$AU$16:$AV$41,2,0),$E$26*(1+$AW$14))*C26</f>
        <v>1130</v>
      </c>
      <c r="C26" s="253">
        <v>1</v>
      </c>
      <c r="D26" s="403">
        <f>IF($M$3="metric",1700,66.9)</f>
        <v>1700</v>
      </c>
      <c r="E26" s="406">
        <v>1010</v>
      </c>
      <c r="F26" s="365">
        <v>100</v>
      </c>
      <c r="G26" s="366">
        <f t="shared" si="0"/>
        <v>1205</v>
      </c>
      <c r="H26" s="332">
        <f>IF($M$3="metric",'Katalogdaten M3G045'!H26,'Katalogdaten M3G045'!H26*3.412)</f>
        <v>7819.4107619569813</v>
      </c>
      <c r="I26" s="348">
        <f>IF($M$3="metric",'Katalogdaten M3G045'!I26,('Katalogdaten M3G045'!I26*1.8+32))</f>
        <v>58.589380306287303</v>
      </c>
      <c r="J26" s="334">
        <f>IF($M$3="metric",'Katalogdaten M3G045'!J26,'Katalogdaten M3G045'!J26*0.00440287)</f>
        <v>672.27872206099073</v>
      </c>
      <c r="K26" s="335">
        <f>IF($M$3="metric",'Katalogdaten M3G045'!K26,'Katalogdaten M3G045'!K26*0.335)</f>
        <v>33.676287789219927</v>
      </c>
      <c r="L26" s="336">
        <f>IF($M$3="metric",'Katalogdaten M3G045'!L26,'Katalogdaten M3G045'!L26*3.412)</f>
        <v>4446.190335499884</v>
      </c>
      <c r="M26" s="348">
        <f>IF($M$3="metric",'Katalogdaten M3G045'!M26,('Katalogdaten M3G045'!M26*1.8+32))</f>
        <v>41.895895481191488</v>
      </c>
      <c r="N26" s="334">
        <f>IF($M$3="metric",'Katalogdaten M3G045'!N26,'Katalogdaten M3G045'!N26*0.00440287)</f>
        <v>382.2639899328816</v>
      </c>
      <c r="O26" s="335">
        <f>IF($M$3="metric",'Katalogdaten M3G045'!O26,'Katalogdaten M3G045'!O26*0.335)</f>
        <v>15.878834894989371</v>
      </c>
      <c r="P26" s="349">
        <f>IF($M$3="metric",'Katalogdaten M3G045'!AK26*0.277778,'Katalogdaten M3G045'!AK26*0.5886)</f>
        <v>162.50013000000001</v>
      </c>
      <c r="Q26" s="335">
        <f>'Katalogdaten M3G045'!AL26</f>
        <v>43.815405658279268</v>
      </c>
      <c r="R26" s="335">
        <f>'Katalogdaten M3G045'!AM26</f>
        <v>51.815405658279268</v>
      </c>
      <c r="S26" s="352">
        <f>'Katalogdaten M3G045'!AN26</f>
        <v>24.4</v>
      </c>
      <c r="T26" s="353">
        <f>'Katalogdaten M3G045'!AO26</f>
        <v>218</v>
      </c>
      <c r="U26" s="367"/>
      <c r="V26" s="367"/>
      <c r="W26" s="403">
        <f>IF($M$3="metric",1700,66.9)</f>
        <v>1700</v>
      </c>
      <c r="X26" s="368">
        <f t="shared" si="4"/>
        <v>100</v>
      </c>
      <c r="Y26" s="332">
        <f>IF($M$3="metric",'Katalogdaten M3G045'!T26,'Katalogdaten M3G045'!T26*3.412)</f>
        <v>1496.8395775933627</v>
      </c>
      <c r="Z26" s="332">
        <f>IF($M$3="metric",'Katalogdaten M3G045'!U26,'Katalogdaten M3G045'!U26*3.412)</f>
        <v>1496.8395775933627</v>
      </c>
      <c r="AA26" s="348">
        <f>IF($M$3="metric",'Katalogdaten M3G045'!V26,('Katalogdaten M3G045'!V26*1.8+32))</f>
        <v>19.862089156303803</v>
      </c>
      <c r="AB26" s="334">
        <f>IF($M$3="metric",'Katalogdaten M3G045'!W26,'Katalogdaten M3G045'!W26*0.00440287)</f>
        <v>643.45858594013282</v>
      </c>
      <c r="AC26" s="335">
        <f>IF($M$3="metric",'Katalogdaten M3G045'!X26,'Katalogdaten M3G045'!X26*0.335)</f>
        <v>31.158784112793679</v>
      </c>
      <c r="AD26" s="369">
        <f>IF($M$3="metric",'Katalogdaten M3G045'!Y26,'Katalogdaten M3G045'!Y26*0.00440287*60)</f>
        <v>0</v>
      </c>
      <c r="AE26" s="374">
        <f>'Katalogdaten M3G045'!Z26</f>
        <v>81.658352099050163</v>
      </c>
      <c r="AF26" s="348">
        <f>IF($M$3="metric",'Katalogdaten M3G045'!AA26,('Katalogdaten M3G045'!AA26*1.8+32))</f>
        <v>17.636776972933205</v>
      </c>
      <c r="AG26" s="336">
        <f>IF($M$3="metric",'Katalogdaten M3G045'!AB26,'Katalogdaten M3G045'!AB26*3.412)</f>
        <v>1392.1254361257011</v>
      </c>
      <c r="AH26" s="332">
        <f>IF($M$3="metric",'Katalogdaten M3G045'!AC26,'Katalogdaten M3G045'!AC26*3.412)</f>
        <v>1392.1254361257011</v>
      </c>
      <c r="AI26" s="348">
        <f>IF($M$3="metric",'Katalogdaten M3G045'!AD26,('Katalogdaten M3G045'!AD26*1.8+32))</f>
        <v>20.396413133686945</v>
      </c>
      <c r="AJ26" s="334">
        <f>IF($M$3="metric",'Katalogdaten M3G045'!AE26,'Katalogdaten M3G045'!AE26*0.00440287)</f>
        <v>598.44426750191394</v>
      </c>
      <c r="AK26" s="335">
        <f>IF($M$3="metric",'Katalogdaten M3G045'!AF26,'Katalogdaten M3G045'!AF26*0.335)</f>
        <v>20.239075265564086</v>
      </c>
      <c r="AL26" s="369">
        <f>IF($M$3="metric",'Katalogdaten M3G045'!AG26,'Katalogdaten M3G045'!AG26*0.00440287*60)</f>
        <v>0</v>
      </c>
      <c r="AM26" s="374">
        <f>'Katalogdaten M3G045'!AH26</f>
        <v>78.871120569847804</v>
      </c>
      <c r="AN26" s="375">
        <f>IF($M$3="metric",'Katalogdaten M3G045'!AI26,('Katalogdaten M3G045'!AI26*1.8+32))</f>
        <v>17.807888825609325</v>
      </c>
      <c r="AQ26" s="110"/>
      <c r="AU26" s="109">
        <f>380+630</f>
        <v>1010</v>
      </c>
      <c r="AV26">
        <v>1130</v>
      </c>
      <c r="AW26">
        <f t="shared" ref="AW26" si="16">(AV26-AU26)/AU26</f>
        <v>0.11881188118811881</v>
      </c>
      <c r="AX26">
        <v>100</v>
      </c>
      <c r="AY26">
        <f t="shared" si="5"/>
        <v>10000</v>
      </c>
      <c r="AZ26" s="214">
        <v>585</v>
      </c>
      <c r="BA26" s="194">
        <v>43.815405658279268</v>
      </c>
      <c r="BB26" s="195">
        <v>51.815405658279268</v>
      </c>
      <c r="BC26" s="204">
        <v>24.4</v>
      </c>
      <c r="BD26" s="209">
        <v>218</v>
      </c>
      <c r="BE26">
        <f t="array" ref="BE26:BG26">LINEST(BB26:BB30,AX26:AY30)</f>
        <v>1.0455861161341273E-3</v>
      </c>
      <c r="BF26">
        <v>0.24822337676301398</v>
      </c>
      <c r="BG26">
        <v>17.341541283057559</v>
      </c>
      <c r="BH26">
        <f t="array" ref="BH26:BJ26">LINEST(BC26:BC30,AX26:AY30)</f>
        <v>4.2499999999999986E-3</v>
      </c>
      <c r="BI26">
        <v>-0.2619999999999999</v>
      </c>
      <c r="BJ26">
        <v>7.7799999999999976</v>
      </c>
      <c r="BK26">
        <f t="array" ref="BK26:BM26">LINEST(BD26:BD30,AX26:AY30)</f>
        <v>3.6250000000000004E-2</v>
      </c>
      <c r="BL26">
        <v>-2.3250000000000011</v>
      </c>
      <c r="BM26">
        <v>85.600000000000023</v>
      </c>
      <c r="BO26" s="249">
        <f t="shared" si="9"/>
        <v>1.2503647585511141E-2</v>
      </c>
      <c r="BP26" s="250" t="e">
        <f>BO26*#REF!</f>
        <v>#REF!</v>
      </c>
      <c r="BQ26" s="250" t="e">
        <f t="shared" si="1"/>
        <v>#REF!</v>
      </c>
      <c r="BR26" s="249" t="e">
        <f>BQ26/#REF!</f>
        <v>#REF!</v>
      </c>
      <c r="BS26" s="251" t="e">
        <f t="shared" si="2"/>
        <v>#REF!</v>
      </c>
      <c r="BT26" s="101" t="e">
        <f t="shared" si="3"/>
        <v>#REF!</v>
      </c>
    </row>
    <row r="27" spans="2:72" x14ac:dyDescent="0.3">
      <c r="B27" s="117">
        <f>IF(ISNUMBER(VLOOKUP($E$26,$AU$16:$AV$41,2,0)),VLOOKUP($E$26,$AU$16:$AV$41,2,0),$E$26*(1+$AW$14))*C27</f>
        <v>1310.8</v>
      </c>
      <c r="C27" s="253">
        <v>1.1599999999999999</v>
      </c>
      <c r="D27" s="404"/>
      <c r="E27" s="407"/>
      <c r="F27" s="365">
        <v>80</v>
      </c>
      <c r="G27" s="366">
        <f t="shared" si="0"/>
        <v>985</v>
      </c>
      <c r="H27" s="332">
        <f>IF($M$3="metric",'Katalogdaten M3G045'!H27,'Katalogdaten M3G045'!H27*3.412)</f>
        <v>6307.4559375885638</v>
      </c>
      <c r="I27" s="333">
        <f>IF($M$3="metric",'Katalogdaten M3G045'!I27,('Katalogdaten M3G045'!I27*1.8+32))</f>
        <v>59.944162279646228</v>
      </c>
      <c r="J27" s="334">
        <f>IF($M$3="metric",'Katalogdaten M3G045'!J27,'Katalogdaten M3G045'!J27*0.00440287)</f>
        <v>542.28746209475264</v>
      </c>
      <c r="K27" s="335">
        <f>IF($M$3="metric",'Katalogdaten M3G045'!K27,'Katalogdaten M3G045'!K27*0.335)</f>
        <v>23.00595186098694</v>
      </c>
      <c r="L27" s="336">
        <f>IF($M$3="metric",'Katalogdaten M3G045'!L27,'Katalogdaten M3G045'!L27*3.412)</f>
        <v>3806.5600491772179</v>
      </c>
      <c r="M27" s="333">
        <f>IF($M$3="metric",'Katalogdaten M3G045'!M27,('Katalogdaten M3G045'!M27*1.8+32))</f>
        <v>43.575018103329839</v>
      </c>
      <c r="N27" s="334">
        <f>IF($M$3="metric",'Katalogdaten M3G045'!N27,'Katalogdaten M3G045'!N27*0.00440287)</f>
        <v>327.27137673335602</v>
      </c>
      <c r="O27" s="335">
        <f>IF($M$3="metric",'Katalogdaten M3G045'!O27,'Katalogdaten M3G045'!O27*0.335)</f>
        <v>12.141979348163485</v>
      </c>
      <c r="P27" s="337">
        <f>IF($M$3="metric",'Katalogdaten M3G045'!AK27*0.277778,'Katalogdaten M3G045'!AK27*0.5886)</f>
        <v>129.16677000000001</v>
      </c>
      <c r="Q27" s="335">
        <f>'Katalogdaten M3G045'!AL27</f>
        <v>37.405894977112773</v>
      </c>
      <c r="R27" s="335">
        <f>'Katalogdaten M3G045'!AM27</f>
        <v>45.405894977112773</v>
      </c>
      <c r="S27" s="340">
        <f>'Katalogdaten M3G045'!AN27</f>
        <v>13.4</v>
      </c>
      <c r="T27" s="341">
        <f>'Katalogdaten M3G045'!AO27</f>
        <v>127</v>
      </c>
      <c r="U27" s="367"/>
      <c r="V27" s="367"/>
      <c r="W27" s="404"/>
      <c r="X27" s="368">
        <f t="shared" si="4"/>
        <v>80</v>
      </c>
      <c r="Y27" s="332">
        <f>IF($M$3="metric",'Katalogdaten M3G045'!T27,'Katalogdaten M3G045'!T27*3.412)</f>
        <v>1293.2287147733255</v>
      </c>
      <c r="Z27" s="332">
        <f>IF($M$3="metric",'Katalogdaten M3G045'!U27,'Katalogdaten M3G045'!U27*3.412)</f>
        <v>1293.2287147733255</v>
      </c>
      <c r="AA27" s="333">
        <f>IF($M$3="metric",'Katalogdaten M3G045'!V27,('Katalogdaten M3G045'!V27*1.8+32))</f>
        <v>19.198098444722675</v>
      </c>
      <c r="AB27" s="334">
        <f>IF($M$3="metric",'Katalogdaten M3G045'!W27,'Katalogdaten M3G045'!W27*0.00440287)</f>
        <v>555.93073069536479</v>
      </c>
      <c r="AC27" s="335">
        <f>IF($M$3="metric",'Katalogdaten M3G045'!X27,'Katalogdaten M3G045'!X27*0.335)</f>
        <v>24.042304676700002</v>
      </c>
      <c r="AD27" s="369">
        <f>IF($M$3="metric",'Katalogdaten M3G045'!Y27,'Katalogdaten M3G045'!Y27*0.00440287*60)</f>
        <v>0</v>
      </c>
      <c r="AE27" s="370">
        <f>'Katalogdaten M3G045'!Z27</f>
        <v>85.267149395364555</v>
      </c>
      <c r="AF27" s="333">
        <f>IF($M$3="metric",'Katalogdaten M3G045'!AA27,('Katalogdaten M3G045'!AA27*1.8+32))</f>
        <v>17.428470665482102</v>
      </c>
      <c r="AG27" s="336">
        <f>IF($M$3="metric",'Katalogdaten M3G045'!AB27,'Katalogdaten M3G045'!AB27*3.412)</f>
        <v>1208.4342459963013</v>
      </c>
      <c r="AH27" s="332">
        <f>IF($M$3="metric",'Katalogdaten M3G045'!AC27,'Katalogdaten M3G045'!AC27*3.412)</f>
        <v>1208.4342459963013</v>
      </c>
      <c r="AI27" s="333">
        <f>IF($M$3="metric",'Katalogdaten M3G045'!AD27,('Katalogdaten M3G045'!AD27*1.8+32))</f>
        <v>19.742437836647078</v>
      </c>
      <c r="AJ27" s="334">
        <f>IF($M$3="metric",'Katalogdaten M3G045'!AE27,'Katalogdaten M3G045'!AE27*0.00440287)</f>
        <v>519.4794437361212</v>
      </c>
      <c r="AK27" s="335">
        <f>IF($M$3="metric",'Katalogdaten M3G045'!AF27,'Katalogdaten M3G045'!AF27*0.335)</f>
        <v>15.737708602468262</v>
      </c>
      <c r="AL27" s="369">
        <f>IF($M$3="metric",'Katalogdaten M3G045'!AG27,'Katalogdaten M3G045'!AG27*0.00440287*60)</f>
        <v>0</v>
      </c>
      <c r="AM27" s="370">
        <f>'Katalogdaten M3G045'!AH27</f>
        <v>82.296588286146303</v>
      </c>
      <c r="AN27" s="335">
        <f>IF($M$3="metric",'Katalogdaten M3G045'!AI27,('Katalogdaten M3G045'!AI27*1.8+32))</f>
        <v>17.598887127961643</v>
      </c>
      <c r="AQ27" s="110"/>
      <c r="AV27"/>
      <c r="AX27">
        <v>80</v>
      </c>
      <c r="AY27">
        <f t="shared" si="5"/>
        <v>6400</v>
      </c>
      <c r="AZ27" s="214">
        <v>465</v>
      </c>
      <c r="BA27" s="194">
        <v>37.405894977112773</v>
      </c>
      <c r="BB27" s="195">
        <v>45.405894977112773</v>
      </c>
      <c r="BC27" s="201">
        <v>13.4</v>
      </c>
      <c r="BD27" s="206">
        <v>127</v>
      </c>
      <c r="BE27">
        <f>BE26</f>
        <v>1.0455861161341273E-3</v>
      </c>
      <c r="BF27">
        <f t="shared" ref="BF27:BH30" si="17">BF26</f>
        <v>0.24822337676301398</v>
      </c>
      <c r="BG27">
        <f t="shared" si="17"/>
        <v>17.341541283057559</v>
      </c>
      <c r="BH27">
        <f>BH26</f>
        <v>4.2499999999999986E-3</v>
      </c>
      <c r="BI27">
        <f t="shared" ref="BI27:BK30" si="18">BI26</f>
        <v>-0.2619999999999999</v>
      </c>
      <c r="BJ27">
        <f t="shared" si="18"/>
        <v>7.7799999999999976</v>
      </c>
      <c r="BK27">
        <f>BK26</f>
        <v>3.6250000000000004E-2</v>
      </c>
      <c r="BL27">
        <f t="shared" ref="BL27:BM30" si="19">BL26</f>
        <v>-2.3250000000000011</v>
      </c>
      <c r="BM27">
        <f t="shared" si="19"/>
        <v>85.600000000000023</v>
      </c>
      <c r="BO27" s="249">
        <f t="shared" si="9"/>
        <v>1.2503647585511141E-2</v>
      </c>
      <c r="BP27" s="250" t="e">
        <f>BO27*#REF!</f>
        <v>#REF!</v>
      </c>
      <c r="BQ27" s="250" t="e">
        <f t="shared" si="1"/>
        <v>#REF!</v>
      </c>
      <c r="BR27" s="249" t="e">
        <f>BQ27/#REF!</f>
        <v>#REF!</v>
      </c>
      <c r="BS27" s="251" t="e">
        <f t="shared" si="2"/>
        <v>#REF!</v>
      </c>
      <c r="BT27" s="101" t="e">
        <f t="shared" si="3"/>
        <v>#REF!</v>
      </c>
    </row>
    <row r="28" spans="2:72" x14ac:dyDescent="0.3">
      <c r="B28" s="117">
        <f>IF(ISNUMBER(VLOOKUP($E$26,$AU$16:$AV$41,2,0)),VLOOKUP($E$26,$AU$16:$AV$41,2,0),$E$26*(1+$AW$14))*C28</f>
        <v>1502.9</v>
      </c>
      <c r="C28" s="253">
        <v>1.33</v>
      </c>
      <c r="D28" s="404"/>
      <c r="E28" s="407"/>
      <c r="F28" s="365">
        <v>60</v>
      </c>
      <c r="G28" s="366">
        <f t="shared" si="0"/>
        <v>735</v>
      </c>
      <c r="H28" s="332">
        <f>IF($M$3="metric",'Katalogdaten M3G045'!H28,'Katalogdaten M3G045'!H28*3.412)</f>
        <v>4616.6517133529442</v>
      </c>
      <c r="I28" s="333">
        <f>IF($M$3="metric",'Katalogdaten M3G045'!I28,('Katalogdaten M3G045'!I28*1.8+32))</f>
        <v>62.005294405126953</v>
      </c>
      <c r="J28" s="334">
        <f>IF($M$3="metric",'Katalogdaten M3G045'!J28,'Katalogdaten M3G045'!J28*0.00440287)</f>
        <v>396.91951331596709</v>
      </c>
      <c r="K28" s="335">
        <f>IF($M$3="metric",'Katalogdaten M3G045'!K28,'Katalogdaten M3G045'!K28*0.335)</f>
        <v>13.22848096303856</v>
      </c>
      <c r="L28" s="336">
        <f>IF($M$3="metric",'Katalogdaten M3G045'!L28,'Katalogdaten M3G045'!L28*3.412)</f>
        <v>3037.8627717190866</v>
      </c>
      <c r="M28" s="333">
        <f>IF($M$3="metric",'Katalogdaten M3G045'!M28,('Katalogdaten M3G045'!M28*1.8+32))</f>
        <v>46.584922143769582</v>
      </c>
      <c r="N28" s="334">
        <f>IF($M$3="metric",'Katalogdaten M3G045'!N28,'Katalogdaten M3G045'!N28*0.00440287)</f>
        <v>261.18214839206604</v>
      </c>
      <c r="O28" s="335">
        <f>IF($M$3="metric",'Katalogdaten M3G045'!O28,'Katalogdaten M3G045'!O28*0.335)</f>
        <v>8.223482228384718</v>
      </c>
      <c r="P28" s="337">
        <f>IF($M$3="metric",'Katalogdaten M3G045'!AK28*0.277778,'Katalogdaten M3G045'!AK28*0.5886)</f>
        <v>90.277850000000015</v>
      </c>
      <c r="Q28" s="335">
        <f>'Katalogdaten M3G045'!AL28</f>
        <v>28.28086345218</v>
      </c>
      <c r="R28" s="335">
        <f>'Katalogdaten M3G045'!AM28</f>
        <v>36.28086345218</v>
      </c>
      <c r="S28" s="340">
        <f>'Katalogdaten M3G045'!AN28</f>
        <v>7.3</v>
      </c>
      <c r="T28" s="341">
        <f>'Katalogdaten M3G045'!AO28</f>
        <v>76</v>
      </c>
      <c r="U28" s="367"/>
      <c r="V28" s="367"/>
      <c r="W28" s="404"/>
      <c r="X28" s="368">
        <f t="shared" si="4"/>
        <v>60</v>
      </c>
      <c r="Y28" s="332">
        <f>IF($M$3="metric",'Katalogdaten M3G045'!T28,'Katalogdaten M3G045'!T28*3.412)</f>
        <v>975.12448464448983</v>
      </c>
      <c r="Z28" s="332">
        <f>IF($M$3="metric",'Katalogdaten M3G045'!U28,'Katalogdaten M3G045'!U28*3.412)</f>
        <v>975.12448464448983</v>
      </c>
      <c r="AA28" s="333">
        <f>IF($M$3="metric",'Katalogdaten M3G045'!V28,('Katalogdaten M3G045'!V28*1.8+32))</f>
        <v>18.543632747237751</v>
      </c>
      <c r="AB28" s="334">
        <f>IF($M$3="metric",'Katalogdaten M3G045'!W28,'Katalogdaten M3G045'!W28*0.00440287)</f>
        <v>419.18468177716784</v>
      </c>
      <c r="AC28" s="335">
        <f>IF($M$3="metric",'Katalogdaten M3G045'!X28,'Katalogdaten M3G045'!X28*0.335)</f>
        <v>14.572780534487983</v>
      </c>
      <c r="AD28" s="369">
        <f>IF($M$3="metric",'Katalogdaten M3G045'!Y28,'Katalogdaten M3G045'!Y28*0.00440287*60)</f>
        <v>0</v>
      </c>
      <c r="AE28" s="370">
        <f>'Katalogdaten M3G045'!Z28</f>
        <v>88.988779224422757</v>
      </c>
      <c r="AF28" s="333">
        <f>IF($M$3="metric",'Katalogdaten M3G045'!AA28,('Katalogdaten M3G045'!AA28*1.8+32))</f>
        <v>17.227786941529381</v>
      </c>
      <c r="AG28" s="336">
        <f>IF($M$3="metric",'Katalogdaten M3G045'!AB28,'Katalogdaten M3G045'!AB28*3.412)</f>
        <v>917.43869743140272</v>
      </c>
      <c r="AH28" s="332">
        <f>IF($M$3="metric",'Katalogdaten M3G045'!AC28,'Katalogdaten M3G045'!AC28*3.412)</f>
        <v>917.43869743140272</v>
      </c>
      <c r="AI28" s="333">
        <f>IF($M$3="metric",'Katalogdaten M3G045'!AD28,('Katalogdaten M3G045'!AD28*1.8+32))</f>
        <v>19.073467761824084</v>
      </c>
      <c r="AJ28" s="334">
        <f>IF($M$3="metric",'Katalogdaten M3G045'!AE28,'Katalogdaten M3G045'!AE28*0.00440287)</f>
        <v>394.38682392746034</v>
      </c>
      <c r="AK28" s="335">
        <f>IF($M$3="metric",'Katalogdaten M3G045'!AF28,'Katalogdaten M3G045'!AF28*0.335)</f>
        <v>9.6437703413997706</v>
      </c>
      <c r="AL28" s="369">
        <f>IF($M$3="metric",'Katalogdaten M3G045'!AG28,'Katalogdaten M3G045'!AG28*0.00440287*60)</f>
        <v>0</v>
      </c>
      <c r="AM28" s="370">
        <f>'Katalogdaten M3G045'!AH28</f>
        <v>85.963028307123338</v>
      </c>
      <c r="AN28" s="335">
        <f>IF($M$3="metric",'Katalogdaten M3G045'!AI28,('Katalogdaten M3G045'!AI28*1.8+32))</f>
        <v>17.389901819178604</v>
      </c>
      <c r="AQ28" s="110"/>
      <c r="AV28"/>
      <c r="AX28">
        <v>60</v>
      </c>
      <c r="AY28">
        <f t="shared" si="5"/>
        <v>3600</v>
      </c>
      <c r="AZ28" s="214">
        <v>325</v>
      </c>
      <c r="BA28" s="194">
        <v>28.28086345218</v>
      </c>
      <c r="BB28" s="195">
        <v>36.28086345218</v>
      </c>
      <c r="BC28" s="201">
        <v>7.3</v>
      </c>
      <c r="BD28" s="206">
        <v>76</v>
      </c>
      <c r="BE28">
        <f t="shared" ref="BE28:BE30" si="20">BE27</f>
        <v>1.0455861161341273E-3</v>
      </c>
      <c r="BF28">
        <f t="shared" si="17"/>
        <v>0.24822337676301398</v>
      </c>
      <c r="BG28">
        <f t="shared" si="17"/>
        <v>17.341541283057559</v>
      </c>
      <c r="BH28">
        <f t="shared" si="17"/>
        <v>4.2499999999999986E-3</v>
      </c>
      <c r="BI28">
        <f t="shared" si="18"/>
        <v>-0.2619999999999999</v>
      </c>
      <c r="BJ28">
        <f t="shared" si="18"/>
        <v>7.7799999999999976</v>
      </c>
      <c r="BK28">
        <f t="shared" si="18"/>
        <v>3.6250000000000004E-2</v>
      </c>
      <c r="BL28">
        <f t="shared" si="19"/>
        <v>-2.3250000000000011</v>
      </c>
      <c r="BM28">
        <f t="shared" si="19"/>
        <v>85.600000000000023</v>
      </c>
      <c r="BO28" s="249">
        <f t="shared" si="9"/>
        <v>1.2503647585511141E-2</v>
      </c>
      <c r="BP28" s="250" t="e">
        <f>BO28*#REF!</f>
        <v>#REF!</v>
      </c>
      <c r="BQ28" s="250" t="e">
        <f t="shared" si="1"/>
        <v>#REF!</v>
      </c>
      <c r="BR28" s="249" t="e">
        <f>BQ28/#REF!</f>
        <v>#REF!</v>
      </c>
      <c r="BS28" s="251" t="e">
        <f t="shared" si="2"/>
        <v>#REF!</v>
      </c>
      <c r="BT28" s="101" t="e">
        <f t="shared" si="3"/>
        <v>#REF!</v>
      </c>
    </row>
    <row r="29" spans="2:72" x14ac:dyDescent="0.3">
      <c r="B29" s="117">
        <f>IF(ISNUMBER(VLOOKUP($E$26,$AU$16:$AV$41,2,0)),VLOOKUP($E$26,$AU$16:$AV$41,2,0),$E$26*(1+$AW$14))*C29</f>
        <v>1683.7</v>
      </c>
      <c r="C29" s="253">
        <v>1.49</v>
      </c>
      <c r="D29" s="404"/>
      <c r="E29" s="407"/>
      <c r="F29" s="365">
        <v>40</v>
      </c>
      <c r="G29" s="366">
        <f t="shared" si="0"/>
        <v>495</v>
      </c>
      <c r="H29" s="332">
        <f>IF($M$3="metric",'Katalogdaten M3G045'!H29,'Katalogdaten M3G045'!H29*3.412)</f>
        <v>3029.2304978898255</v>
      </c>
      <c r="I29" s="333">
        <f>IF($M$3="metric",'Katalogdaten M3G045'!I29,('Katalogdaten M3G045'!I29*1.8+32))</f>
        <v>64.945607297551859</v>
      </c>
      <c r="J29" s="334">
        <f>IF($M$3="metric",'Katalogdaten M3G045'!J29,'Katalogdaten M3G045'!J29*0.00440287)</f>
        <v>260.43998326030822</v>
      </c>
      <c r="K29" s="335">
        <f>IF($M$3="metric",'Katalogdaten M3G045'!K29,'Katalogdaten M3G045'!K29*0.335)</f>
        <v>6.2662153057177932</v>
      </c>
      <c r="L29" s="336">
        <f>IF($M$3="metric",'Katalogdaten M3G045'!L29,'Katalogdaten M3G045'!L29*3.412)</f>
        <v>2240.2270739741875</v>
      </c>
      <c r="M29" s="333">
        <f>IF($M$3="metric",'Katalogdaten M3G045'!M29,('Katalogdaten M3G045'!M29*1.8+32))</f>
        <v>51.607471712473547</v>
      </c>
      <c r="N29" s="334">
        <f>IF($M$3="metric",'Katalogdaten M3G045'!N29,'Katalogdaten M3G045'!N29*0.00440287)</f>
        <v>192.60492129983396</v>
      </c>
      <c r="O29" s="335">
        <f>IF($M$3="metric",'Katalogdaten M3G045'!O29,'Katalogdaten M3G045'!O29*0.335)</f>
        <v>4.8590210202455442</v>
      </c>
      <c r="P29" s="337">
        <f>IF($M$3="metric",'Katalogdaten M3G045'!AK29*0.277778,'Katalogdaten M3G045'!AK29*0.5886)</f>
        <v>54.166710000000002</v>
      </c>
      <c r="Q29" s="335">
        <f>'Katalogdaten M3G045'!AL29</f>
        <v>19.052935669292051</v>
      </c>
      <c r="R29" s="335">
        <f>'Katalogdaten M3G045'!AM29</f>
        <v>27.052935669292051</v>
      </c>
      <c r="S29" s="340">
        <f>'Katalogdaten M3G045'!AN29</f>
        <v>4.8</v>
      </c>
      <c r="T29" s="341">
        <f>'Katalogdaten M3G045'!AO29</f>
        <v>56</v>
      </c>
      <c r="U29" s="367"/>
      <c r="V29" s="367"/>
      <c r="W29" s="404"/>
      <c r="X29" s="368">
        <f t="shared" si="4"/>
        <v>40</v>
      </c>
      <c r="Y29" s="332">
        <f>IF($M$3="metric",'Katalogdaten M3G045'!T29,'Katalogdaten M3G045'!T29*3.412)</f>
        <v>618.31351885751428</v>
      </c>
      <c r="Z29" s="332">
        <f>IF($M$3="metric",'Katalogdaten M3G045'!U29,'Katalogdaten M3G045'!U29*3.412)</f>
        <v>618.31351885751428</v>
      </c>
      <c r="AA29" s="333">
        <f>IF($M$3="metric",'Katalogdaten M3G045'!V29,('Katalogdaten M3G045'!V29*1.8+32))</f>
        <v>18.034810273899513</v>
      </c>
      <c r="AB29" s="334">
        <f>IF($M$3="metric",'Katalogdaten M3G045'!W29,'Katalogdaten M3G045'!W29*0.00440287)</f>
        <v>265.79945404129859</v>
      </c>
      <c r="AC29" s="335">
        <f>IF($M$3="metric",'Katalogdaten M3G045'!X29,'Katalogdaten M3G045'!X29*0.335)</f>
        <v>6.4966980139736519</v>
      </c>
      <c r="AD29" s="369">
        <f>IF($M$3="metric",'Katalogdaten M3G045'!Y29,'Katalogdaten M3G045'!Y29*0.00440287*60)</f>
        <v>0</v>
      </c>
      <c r="AE29" s="370">
        <f>'Katalogdaten M3G045'!Z29</f>
        <v>92.000182180193718</v>
      </c>
      <c r="AF29" s="333">
        <f>IF($M$3="metric",'Katalogdaten M3G045'!AA29,('Katalogdaten M3G045'!AA29*1.8+32))</f>
        <v>17.07489081971115</v>
      </c>
      <c r="AG29" s="336">
        <f>IF($M$3="metric",'Katalogdaten M3G045'!AB29,'Katalogdaten M3G045'!AB29*3.412)</f>
        <v>587.13102298155297</v>
      </c>
      <c r="AH29" s="332">
        <f>IF($M$3="metric",'Katalogdaten M3G045'!AC29,'Katalogdaten M3G045'!AC29*3.412)</f>
        <v>587.13102298155297</v>
      </c>
      <c r="AI29" s="333">
        <f>IF($M$3="metric",'Katalogdaten M3G045'!AD29,('Katalogdaten M3G045'!AD29*1.8+32))</f>
        <v>18.512154259754261</v>
      </c>
      <c r="AJ29" s="334">
        <f>IF($M$3="metric",'Katalogdaten M3G045'!AE29,'Katalogdaten M3G045'!AE29*0.00440287)</f>
        <v>252.39478128759555</v>
      </c>
      <c r="AK29" s="335">
        <f>IF($M$3="metric",'Katalogdaten M3G045'!AF29,'Katalogdaten M3G045'!AF29*0.335)</f>
        <v>4.3616808980273278</v>
      </c>
      <c r="AL29" s="369">
        <f>IF($M$3="metric",'Katalogdaten M3G045'!AG29,'Katalogdaten M3G045'!AG29*0.00440287*60)</f>
        <v>0</v>
      </c>
      <c r="AM29" s="370">
        <f>'Katalogdaten M3G045'!AH29</f>
        <v>89.172036341747685</v>
      </c>
      <c r="AN29" s="335">
        <f>IF($M$3="metric",'Katalogdaten M3G045'!AI29,('Katalogdaten M3G045'!AI29*1.8+32))</f>
        <v>17.218249104114626</v>
      </c>
      <c r="AQ29" s="110"/>
      <c r="AV29"/>
      <c r="AX29">
        <v>40</v>
      </c>
      <c r="AY29">
        <f t="shared" si="5"/>
        <v>1600</v>
      </c>
      <c r="AZ29" s="214">
        <v>195</v>
      </c>
      <c r="BA29" s="194">
        <v>19.052935669292051</v>
      </c>
      <c r="BB29" s="195">
        <v>27.052935669292051</v>
      </c>
      <c r="BC29" s="201">
        <v>4.8</v>
      </c>
      <c r="BD29" s="206">
        <v>56</v>
      </c>
      <c r="BE29">
        <f t="shared" si="20"/>
        <v>1.0455861161341273E-3</v>
      </c>
      <c r="BF29">
        <f t="shared" si="17"/>
        <v>0.24822337676301398</v>
      </c>
      <c r="BG29">
        <f t="shared" si="17"/>
        <v>17.341541283057559</v>
      </c>
      <c r="BH29">
        <f t="shared" si="17"/>
        <v>4.2499999999999986E-3</v>
      </c>
      <c r="BI29">
        <f t="shared" si="18"/>
        <v>-0.2619999999999999</v>
      </c>
      <c r="BJ29">
        <f t="shared" si="18"/>
        <v>7.7799999999999976</v>
      </c>
      <c r="BK29">
        <f t="shared" si="18"/>
        <v>3.6250000000000004E-2</v>
      </c>
      <c r="BL29">
        <f t="shared" si="19"/>
        <v>-2.3250000000000011</v>
      </c>
      <c r="BM29">
        <f t="shared" si="19"/>
        <v>85.600000000000023</v>
      </c>
      <c r="BO29" s="249">
        <f t="shared" si="9"/>
        <v>1.2503647585511141E-2</v>
      </c>
      <c r="BP29" s="250" t="e">
        <f>BO29*#REF!</f>
        <v>#REF!</v>
      </c>
      <c r="BQ29" s="250" t="e">
        <f t="shared" si="1"/>
        <v>#REF!</v>
      </c>
      <c r="BR29" s="249" t="e">
        <f>BQ29/#REF!</f>
        <v>#REF!</v>
      </c>
      <c r="BS29" s="251" t="e">
        <f t="shared" si="2"/>
        <v>#REF!</v>
      </c>
      <c r="BT29" s="101" t="e">
        <f t="shared" si="3"/>
        <v>#REF!</v>
      </c>
    </row>
    <row r="30" spans="2:72" x14ac:dyDescent="0.3">
      <c r="B30" s="117">
        <f>IF(ISNUMBER(VLOOKUP($E$26,$AU$16:$AV$41,2,0)),VLOOKUP($E$26,$AU$16:$AV$41,2,0),$E$26*(1+$AW$14))*C30</f>
        <v>1875.8</v>
      </c>
      <c r="C30" s="253">
        <v>1.66</v>
      </c>
      <c r="D30" s="405"/>
      <c r="E30" s="408"/>
      <c r="F30" s="371">
        <v>20</v>
      </c>
      <c r="G30" s="366">
        <f t="shared" si="0"/>
        <v>315</v>
      </c>
      <c r="H30" s="342">
        <f>IF($M$3="metric",'Katalogdaten M3G045'!H30,'Katalogdaten M3G045'!H30*3.412)</f>
        <v>1871.126856943001</v>
      </c>
      <c r="I30" s="333">
        <f>IF($M$3="metric",'Katalogdaten M3G045'!I30,('Katalogdaten M3G045'!I30*1.8+32))</f>
        <v>68.516222998131227</v>
      </c>
      <c r="J30" s="343">
        <f>IF($M$3="metric",'Katalogdaten M3G045'!J30,'Katalogdaten M3G045'!J30*0.00440287)</f>
        <v>160.87129970453384</v>
      </c>
      <c r="K30" s="344">
        <f>IF($M$3="metric",'Katalogdaten M3G045'!K30,'Katalogdaten M3G045'!K30*0.335)</f>
        <v>2.6667319914350891</v>
      </c>
      <c r="L30" s="345">
        <f>IF($M$3="metric",'Katalogdaten M3G045'!L30,'Katalogdaten M3G045'!L30*3.412)</f>
        <v>1581.4399658180246</v>
      </c>
      <c r="M30" s="333">
        <f>IF($M$3="metric",'Katalogdaten M3G045'!M30,('Katalogdaten M3G045'!M30*1.8+32))</f>
        <v>58.696922251350216</v>
      </c>
      <c r="N30" s="343">
        <f>IF($M$3="metric",'Katalogdaten M3G045'!N30,'Katalogdaten M3G045'!N30*0.00440287)</f>
        <v>135.96528838321788</v>
      </c>
      <c r="O30" s="344">
        <f>IF($M$3="metric",'Katalogdaten M3G045'!O30,'Katalogdaten M3G045'!O30*0.335)</f>
        <v>2.6624584110672851</v>
      </c>
      <c r="P30" s="337">
        <f>IF($M$3="metric",'Katalogdaten M3G045'!AK30*0.277778,'Katalogdaten M3G045'!AK30*0.5886)</f>
        <v>27.777800000000003</v>
      </c>
      <c r="Q30" s="344">
        <f>'Katalogdaten M3G045'!AL30</f>
        <v>15.622514242278697</v>
      </c>
      <c r="R30" s="344">
        <f>'Katalogdaten M3G045'!AM30</f>
        <v>23.622514242278697</v>
      </c>
      <c r="S30" s="346">
        <f>'Katalogdaten M3G045'!AN30</f>
        <v>3.9</v>
      </c>
      <c r="T30" s="347">
        <f>'Katalogdaten M3G045'!AO30</f>
        <v>51</v>
      </c>
      <c r="U30" s="367"/>
      <c r="V30" s="367"/>
      <c r="W30" s="405"/>
      <c r="X30" s="372">
        <f t="shared" si="4"/>
        <v>20</v>
      </c>
      <c r="Y30" s="342">
        <f>IF($M$3="metric",'Katalogdaten M3G045'!T30,'Katalogdaten M3G045'!T30*3.412)</f>
        <v>346.9135674423265</v>
      </c>
      <c r="Z30" s="342">
        <f>IF($M$3="metric",'Katalogdaten M3G045'!U30,'Katalogdaten M3G045'!U30*3.412)</f>
        <v>346.9135674423265</v>
      </c>
      <c r="AA30" s="333">
        <f>IF($M$3="metric",'Katalogdaten M3G045'!V30,('Katalogdaten M3G045'!V30*1.8+32))</f>
        <v>17.144371121124582</v>
      </c>
      <c r="AB30" s="343">
        <f>IF($M$3="metric",'Katalogdaten M3G045'!W30,'Katalogdaten M3G045'!W30*0.00440287)</f>
        <v>149.13055272682558</v>
      </c>
      <c r="AC30" s="344">
        <f>IF($M$3="metric",'Katalogdaten M3G045'!X30,'Katalogdaten M3G045'!X30*0.335)</f>
        <v>2.3313990884222227</v>
      </c>
      <c r="AD30" s="373">
        <f>IF($M$3="metric",'Katalogdaten M3G045'!Y30,'Katalogdaten M3G045'!Y30*0.00440287*60)</f>
        <v>0</v>
      </c>
      <c r="AE30" s="343">
        <f>'Katalogdaten M3G045'!Z30</f>
        <v>97.531090175886561</v>
      </c>
      <c r="AF30" s="333">
        <f>IF($M$3="metric",'Katalogdaten M3G045'!AA30,('Katalogdaten M3G045'!AA30*1.8+32))</f>
        <v>16.813757519095056</v>
      </c>
      <c r="AG30" s="345">
        <f>IF($M$3="metric",'Katalogdaten M3G045'!AB30,'Katalogdaten M3G045'!AB30*3.412)</f>
        <v>332.91367900671906</v>
      </c>
      <c r="AH30" s="342">
        <f>IF($M$3="metric",'Katalogdaten M3G045'!AC30,'Katalogdaten M3G045'!AC30*3.412)</f>
        <v>332.91367900671906</v>
      </c>
      <c r="AI30" s="333">
        <f>IF($M$3="metric",'Katalogdaten M3G045'!AD30,('Katalogdaten M3G045'!AD30*1.8+32))</f>
        <v>17.562278238605401</v>
      </c>
      <c r="AJ30" s="343">
        <f>IF($M$3="metric",'Katalogdaten M3G045'!AE30,'Katalogdaten M3G045'!AE30*0.00440287)</f>
        <v>143.11230698363156</v>
      </c>
      <c r="AK30" s="344">
        <f>IF($M$3="metric",'Katalogdaten M3G045'!AF30,'Katalogdaten M3G045'!AF30*0.335)</f>
        <v>1.5908256546083808</v>
      </c>
      <c r="AL30" s="373">
        <f>IF($M$3="metric",'Katalogdaten M3G045'!AG30,'Katalogdaten M3G045'!AG30*0.00440287*60)</f>
        <v>0</v>
      </c>
      <c r="AM30" s="343">
        <f>'Katalogdaten M3G045'!AH30</f>
        <v>94.89294129180449</v>
      </c>
      <c r="AN30" s="335">
        <f>IF($M$3="metric",'Katalogdaten M3G045'!AI30,('Katalogdaten M3G045'!AI30*1.8+32))</f>
        <v>16.935307240771579</v>
      </c>
      <c r="AQ30" s="110"/>
      <c r="AV30"/>
      <c r="AX30">
        <v>20</v>
      </c>
      <c r="AY30">
        <f t="shared" si="5"/>
        <v>400</v>
      </c>
      <c r="AZ30" s="215">
        <v>100</v>
      </c>
      <c r="BA30" s="196">
        <v>15.622514242278697</v>
      </c>
      <c r="BB30" s="197">
        <v>23.622514242278697</v>
      </c>
      <c r="BC30" s="203">
        <v>3.9</v>
      </c>
      <c r="BD30" s="207">
        <v>51</v>
      </c>
      <c r="BE30">
        <f t="shared" si="20"/>
        <v>1.0455861161341273E-3</v>
      </c>
      <c r="BF30">
        <f t="shared" si="17"/>
        <v>0.24822337676301398</v>
      </c>
      <c r="BG30">
        <f t="shared" si="17"/>
        <v>17.341541283057559</v>
      </c>
      <c r="BH30">
        <f t="shared" si="17"/>
        <v>4.2499999999999986E-3</v>
      </c>
      <c r="BI30">
        <f t="shared" si="18"/>
        <v>-0.2619999999999999</v>
      </c>
      <c r="BJ30">
        <f t="shared" si="18"/>
        <v>7.7799999999999976</v>
      </c>
      <c r="BK30">
        <f t="shared" si="18"/>
        <v>3.6250000000000004E-2</v>
      </c>
      <c r="BL30">
        <f t="shared" si="19"/>
        <v>-2.3250000000000011</v>
      </c>
      <c r="BM30">
        <f t="shared" si="19"/>
        <v>85.600000000000023</v>
      </c>
      <c r="BO30" s="249">
        <f t="shared" si="9"/>
        <v>1.2503647585511141E-2</v>
      </c>
      <c r="BP30" s="250" t="e">
        <f>BO30*#REF!</f>
        <v>#REF!</v>
      </c>
      <c r="BQ30" s="250" t="e">
        <f t="shared" si="1"/>
        <v>#REF!</v>
      </c>
      <c r="BR30" s="249" t="e">
        <f>BQ30/#REF!</f>
        <v>#REF!</v>
      </c>
      <c r="BS30" s="251" t="e">
        <f t="shared" si="2"/>
        <v>#REF!</v>
      </c>
      <c r="BT30" s="101" t="e">
        <f t="shared" si="3"/>
        <v>#REF!</v>
      </c>
    </row>
    <row r="31" spans="2:72" x14ac:dyDescent="0.3">
      <c r="B31" s="117">
        <f>IF(ISNUMBER(VLOOKUP($E$31,$AU$16:$AV$41,2,0)),VLOOKUP($E$31,$AU$16:$AV$41,2,0),$E$31*(1+$AW$14))*C31</f>
        <v>1480</v>
      </c>
      <c r="C31" s="253">
        <v>1</v>
      </c>
      <c r="D31" s="403">
        <f>IF($M$3="metric",2000,78.7)</f>
        <v>2000</v>
      </c>
      <c r="E31" s="406">
        <v>1310</v>
      </c>
      <c r="F31" s="365">
        <v>100</v>
      </c>
      <c r="G31" s="366">
        <f t="shared" si="0"/>
        <v>1205</v>
      </c>
      <c r="H31" s="332">
        <f>IF($M$3="metric",'Katalogdaten M3G045'!H31,'Katalogdaten M3G045'!H31*3.412)</f>
        <v>10241.352148403834</v>
      </c>
      <c r="I31" s="348">
        <f>IF($M$3="metric",'Katalogdaten M3G045'!I31,('Katalogdaten M3G045'!I31*1.8+32))</f>
        <v>58.665484003734441</v>
      </c>
      <c r="J31" s="334">
        <f>IF($M$3="metric",'Katalogdaten M3G045'!J31,'Katalogdaten M3G045'!J31*0.00440287)</f>
        <v>880.5066448232443</v>
      </c>
      <c r="K31" s="335">
        <f>IF($M$3="metric",'Katalogdaten M3G045'!K31,'Katalogdaten M3G045'!K31*0.335)</f>
        <v>69.341432359187422</v>
      </c>
      <c r="L31" s="336">
        <f>IF($M$3="metric",'Katalogdaten M3G045'!L31,'Katalogdaten M3G045'!L31*3.412)</f>
        <v>5823.3289349909992</v>
      </c>
      <c r="M31" s="348">
        <f>IF($M$3="metric",'Katalogdaten M3G045'!M31,('Katalogdaten M3G045'!M31*1.8+32))</f>
        <v>42.478748414206308</v>
      </c>
      <c r="N31" s="334">
        <f>IF($M$3="metric",'Katalogdaten M3G045'!N31,'Katalogdaten M3G045'!N31*0.00440287)</f>
        <v>500.66434079704851</v>
      </c>
      <c r="O31" s="335">
        <f>IF($M$3="metric",'Katalogdaten M3G045'!O31,'Katalogdaten M3G045'!O31*0.335)</f>
        <v>33.037056420051094</v>
      </c>
      <c r="P31" s="349">
        <f>IF($M$3="metric",'Katalogdaten M3G045'!AK31*0.277778,'Katalogdaten M3G045'!AK31*0.5886)</f>
        <v>212.50017000000003</v>
      </c>
      <c r="Q31" s="335">
        <f>'Katalogdaten M3G045'!AL31</f>
        <v>44.735059962189212</v>
      </c>
      <c r="R31" s="335">
        <f>'Katalogdaten M3G045'!AM31</f>
        <v>52.735059962189212</v>
      </c>
      <c r="S31" s="338">
        <f>'Katalogdaten M3G045'!AN31</f>
        <v>34.700000000000003</v>
      </c>
      <c r="T31" s="339">
        <f>'Katalogdaten M3G045'!AO31</f>
        <v>309</v>
      </c>
      <c r="U31" s="367"/>
      <c r="V31" s="367"/>
      <c r="W31" s="403">
        <f>IF($M$3="metric",2000,78.7)</f>
        <v>2000</v>
      </c>
      <c r="X31" s="368">
        <f t="shared" si="4"/>
        <v>100</v>
      </c>
      <c r="Y31" s="332">
        <f>IF($M$3="metric",'Katalogdaten M3G045'!T31,'Katalogdaten M3G045'!T31*3.412)</f>
        <v>1960.4624556090062</v>
      </c>
      <c r="Z31" s="332">
        <f>IF($M$3="metric",'Katalogdaten M3G045'!U31,'Katalogdaten M3G045'!U31*3.412)</f>
        <v>1960.4624556090062</v>
      </c>
      <c r="AA31" s="348">
        <f>IF($M$3="metric",'Katalogdaten M3G045'!V31,('Katalogdaten M3G045'!V31*1.8+32))</f>
        <v>19.850161133122597</v>
      </c>
      <c r="AB31" s="334">
        <f>IF($M$3="metric",'Katalogdaten M3G045'!W31,'Katalogdaten M3G045'!W31*0.00440287)</f>
        <v>842.75991786849249</v>
      </c>
      <c r="AC31" s="335">
        <f>IF($M$3="metric",'Katalogdaten M3G045'!X31,'Katalogdaten M3G045'!X31*0.335)</f>
        <v>64.065047005221544</v>
      </c>
      <c r="AD31" s="369">
        <f>IF($M$3="metric",'Katalogdaten M3G045'!Y31,'Katalogdaten M3G045'!Y31*0.00440287*60)</f>
        <v>0</v>
      </c>
      <c r="AE31" s="374">
        <f>'Katalogdaten M3G045'!Z31</f>
        <v>81.721743356779456</v>
      </c>
      <c r="AF31" s="348">
        <f>IF($M$3="metric",'Katalogdaten M3G045'!AA31,('Katalogdaten M3G045'!AA31*1.8+32))</f>
        <v>17.632992745614949</v>
      </c>
      <c r="AG31" s="336">
        <f>IF($M$3="metric",'Katalogdaten M3G045'!AB31,'Katalogdaten M3G045'!AB31*3.412)</f>
        <v>1823.3147305009184</v>
      </c>
      <c r="AH31" s="332">
        <f>IF($M$3="metric",'Katalogdaten M3G045'!AC31,'Katalogdaten M3G045'!AC31*3.412)</f>
        <v>1823.3147305009184</v>
      </c>
      <c r="AI31" s="348">
        <f>IF($M$3="metric",'Katalogdaten M3G045'!AD31,('Katalogdaten M3G045'!AD31*1.8+32))</f>
        <v>20.385319557112798</v>
      </c>
      <c r="AJ31" s="334">
        <f>IF($M$3="metric",'Katalogdaten M3G045'!AE31,'Katalogdaten M3G045'!AE31*0.00440287)</f>
        <v>783.80311141843606</v>
      </c>
      <c r="AK31" s="335">
        <f>IF($M$3="metric",'Katalogdaten M3G045'!AF31,'Katalogdaten M3G045'!AF31*0.335)</f>
        <v>40.38593597985404</v>
      </c>
      <c r="AL31" s="369">
        <f>IF($M$3="metric",'Katalogdaten M3G045'!AG31,'Katalogdaten M3G045'!AG31*0.00440287*60)</f>
        <v>0</v>
      </c>
      <c r="AM31" s="374">
        <f>'Katalogdaten M3G045'!AH31</f>
        <v>78.927959504821558</v>
      </c>
      <c r="AN31" s="375">
        <f>IF($M$3="metric",'Katalogdaten M3G045'!AI31,('Katalogdaten M3G045'!AI31*1.8+32))</f>
        <v>17.804304412077208</v>
      </c>
      <c r="AQ31" s="110"/>
      <c r="AU31" s="109">
        <f>680+630</f>
        <v>1310</v>
      </c>
      <c r="AV31">
        <v>1480</v>
      </c>
      <c r="AW31">
        <f t="shared" ref="AW31" si="21">(AV31-AU31)/AU31</f>
        <v>0.12977099236641221</v>
      </c>
      <c r="AX31">
        <v>100</v>
      </c>
      <c r="AY31">
        <f t="shared" si="5"/>
        <v>10000</v>
      </c>
      <c r="AZ31" s="214">
        <v>765</v>
      </c>
      <c r="BA31" s="194">
        <v>44.735059962189212</v>
      </c>
      <c r="BB31" s="195">
        <v>52.735059962189212</v>
      </c>
      <c r="BC31" s="200">
        <v>34.700000000000003</v>
      </c>
      <c r="BD31" s="205">
        <v>309</v>
      </c>
      <c r="BE31">
        <f t="array" ref="BE31:BG31">LINEST(BB31:BB35,AX31:AY35)</f>
        <v>1.0455861161341275E-3</v>
      </c>
      <c r="BF31">
        <v>0.24822337676301406</v>
      </c>
      <c r="BG31">
        <v>18.261195586967492</v>
      </c>
      <c r="BH31">
        <f t="array" ref="BH31:BJ31">LINEST(BC31:BC35,AX31:AY35)</f>
        <v>6.0535714285714307E-3</v>
      </c>
      <c r="BI31">
        <v>-0.37392857142857167</v>
      </c>
      <c r="BJ31">
        <v>11.120000000000001</v>
      </c>
      <c r="BK31">
        <f t="array" ref="BK31:BM31">LINEST(BD31:BD35,AX31:AY35)</f>
        <v>5.1428571428571421E-2</v>
      </c>
      <c r="BL31">
        <v>-3.3114285714285727</v>
      </c>
      <c r="BM31">
        <v>122.40000000000012</v>
      </c>
      <c r="BO31" s="249">
        <f t="shared" si="9"/>
        <v>1.2503647585511141E-2</v>
      </c>
      <c r="BP31" s="250" t="e">
        <f>BO31*#REF!</f>
        <v>#REF!</v>
      </c>
      <c r="BQ31" s="250" t="e">
        <f t="shared" si="1"/>
        <v>#REF!</v>
      </c>
      <c r="BR31" s="249" t="e">
        <f>BQ31/#REF!</f>
        <v>#REF!</v>
      </c>
      <c r="BS31" s="251" t="e">
        <f t="shared" si="2"/>
        <v>#REF!</v>
      </c>
      <c r="BT31" s="101" t="e">
        <f t="shared" si="3"/>
        <v>#REF!</v>
      </c>
    </row>
    <row r="32" spans="2:72" x14ac:dyDescent="0.3">
      <c r="B32" s="117">
        <f>IF(ISNUMBER(VLOOKUP($E$31,$AU$16:$AV$41,2,0)),VLOOKUP($E$31,$AU$16:$AV$41,2,0),$E$31*(1+$AW$14))*C32</f>
        <v>1716.8</v>
      </c>
      <c r="C32" s="253">
        <v>1.1599999999999999</v>
      </c>
      <c r="D32" s="404"/>
      <c r="E32" s="407"/>
      <c r="F32" s="365">
        <v>80</v>
      </c>
      <c r="G32" s="366">
        <f t="shared" si="0"/>
        <v>985</v>
      </c>
      <c r="H32" s="332">
        <f>IF($M$3="metric",'Katalogdaten M3G045'!H32,'Katalogdaten M3G045'!H32*3.412)</f>
        <v>8261.0927324168806</v>
      </c>
      <c r="I32" s="333">
        <f>IF($M$3="metric",'Katalogdaten M3G045'!I32,('Katalogdaten M3G045'!I32*1.8+32))</f>
        <v>60.018136272178438</v>
      </c>
      <c r="J32" s="334">
        <f>IF($M$3="metric",'Katalogdaten M3G045'!J32,'Katalogdaten M3G045'!J32*0.00440287)</f>
        <v>710.25260522144595</v>
      </c>
      <c r="K32" s="335">
        <f>IF($M$3="metric",'Katalogdaten M3G045'!K32,'Katalogdaten M3G045'!K32*0.335)</f>
        <v>47.035877374681576</v>
      </c>
      <c r="L32" s="336">
        <f>IF($M$3="metric",'Katalogdaten M3G045'!L32,'Katalogdaten M3G045'!L32*3.412)</f>
        <v>4985.5830732586574</v>
      </c>
      <c r="M32" s="333">
        <f>IF($M$3="metric",'Katalogdaten M3G045'!M32,('Katalogdaten M3G045'!M32*1.8+32))</f>
        <v>44.124820146732333</v>
      </c>
      <c r="N32" s="334">
        <f>IF($M$3="metric",'Katalogdaten M3G045'!N32,'Katalogdaten M3G045'!N32*0.00440287)</f>
        <v>428.63861731448401</v>
      </c>
      <c r="O32" s="335">
        <f>IF($M$3="metric",'Katalogdaten M3G045'!O32,'Katalogdaten M3G045'!O32*0.335)</f>
        <v>25.119447391827165</v>
      </c>
      <c r="P32" s="337">
        <f>IF($M$3="metric",'Katalogdaten M3G045'!AK32*0.277778,'Katalogdaten M3G045'!AK32*0.5886)</f>
        <v>168.05569000000003</v>
      </c>
      <c r="Q32" s="335">
        <f>'Katalogdaten M3G045'!AL32</f>
        <v>38.325549281022717</v>
      </c>
      <c r="R32" s="335">
        <f>'Katalogdaten M3G045'!AM32</f>
        <v>46.325549281022717</v>
      </c>
      <c r="S32" s="340">
        <f>'Katalogdaten M3G045'!AN32</f>
        <v>19.100000000000001</v>
      </c>
      <c r="T32" s="341">
        <f>'Katalogdaten M3G045'!AO32</f>
        <v>180</v>
      </c>
      <c r="U32" s="367"/>
      <c r="V32" s="367"/>
      <c r="W32" s="404"/>
      <c r="X32" s="368">
        <f t="shared" si="4"/>
        <v>80</v>
      </c>
      <c r="Y32" s="332">
        <f>IF($M$3="metric",'Katalogdaten M3G045'!T32,'Katalogdaten M3G045'!T32*3.412)</f>
        <v>1693.786281296037</v>
      </c>
      <c r="Z32" s="332">
        <f>IF($M$3="metric",'Katalogdaten M3G045'!U32,'Katalogdaten M3G045'!U32*3.412)</f>
        <v>1693.786281296037</v>
      </c>
      <c r="AA32" s="333">
        <f>IF($M$3="metric",'Katalogdaten M3G045'!V32,('Katalogdaten M3G045'!V32*1.8+32))</f>
        <v>19.142845534495933</v>
      </c>
      <c r="AB32" s="334">
        <f>IF($M$3="metric",'Katalogdaten M3G045'!W32,'Katalogdaten M3G045'!W32*0.00440287)</f>
        <v>728.12166498153977</v>
      </c>
      <c r="AC32" s="335">
        <f>IF($M$3="metric",'Katalogdaten M3G045'!X32,'Katalogdaten M3G045'!X32*0.335)</f>
        <v>49.195031853369876</v>
      </c>
      <c r="AD32" s="369">
        <f>IF($M$3="metric",'Katalogdaten M3G045'!Y32,'Katalogdaten M3G045'!Y32*0.00440287*60)</f>
        <v>0</v>
      </c>
      <c r="AE32" s="370">
        <f>'Katalogdaten M3G045'!Z32</f>
        <v>85.574921145215981</v>
      </c>
      <c r="AF32" s="333">
        <f>IF($M$3="metric",'Katalogdaten M3G045'!AA32,('Katalogdaten M3G045'!AA32*1.8+32))</f>
        <v>17.411351255294811</v>
      </c>
      <c r="AG32" s="336">
        <f>IF($M$3="metric",'Katalogdaten M3G045'!AB32,'Katalogdaten M3G045'!AB32*3.412)</f>
        <v>1582.728039004005</v>
      </c>
      <c r="AH32" s="332">
        <f>IF($M$3="metric",'Katalogdaten M3G045'!AC32,'Katalogdaten M3G045'!AC32*3.412)</f>
        <v>1582.728039004005</v>
      </c>
      <c r="AI32" s="333">
        <f>IF($M$3="metric",'Katalogdaten M3G045'!AD32,('Katalogdaten M3G045'!AD32*1.8+32))</f>
        <v>19.690807751306252</v>
      </c>
      <c r="AJ32" s="334">
        <f>IF($M$3="metric",'Katalogdaten M3G045'!AE32,'Katalogdaten M3G045'!AE32*0.00440287)</f>
        <v>680.38015639775142</v>
      </c>
      <c r="AK32" s="335">
        <f>IF($M$3="metric",'Katalogdaten M3G045'!AF32,'Katalogdaten M3G045'!AF32*0.335)</f>
        <v>31.456192928414538</v>
      </c>
      <c r="AL32" s="369">
        <f>IF($M$3="metric",'Katalogdaten M3G045'!AG32,'Katalogdaten M3G045'!AG32*0.00440287*60)</f>
        <v>0</v>
      </c>
      <c r="AM32" s="370">
        <f>'Katalogdaten M3G045'!AH32</f>
        <v>82.573609600141509</v>
      </c>
      <c r="AN32" s="335">
        <f>IF($M$3="metric",'Katalogdaten M3G045'!AI32,('Katalogdaten M3G045'!AI32*1.8+32))</f>
        <v>17.582585575372072</v>
      </c>
      <c r="AQ32" s="110"/>
      <c r="AV32"/>
      <c r="AX32">
        <v>80</v>
      </c>
      <c r="AY32">
        <f t="shared" si="5"/>
        <v>6400</v>
      </c>
      <c r="AZ32" s="214">
        <v>605</v>
      </c>
      <c r="BA32" s="194">
        <v>38.325549281022717</v>
      </c>
      <c r="BB32" s="195">
        <v>46.325549281022717</v>
      </c>
      <c r="BC32" s="201">
        <v>19.100000000000001</v>
      </c>
      <c r="BD32" s="206">
        <v>180</v>
      </c>
      <c r="BE32">
        <f>BE31</f>
        <v>1.0455861161341275E-3</v>
      </c>
      <c r="BF32">
        <f t="shared" ref="BF32:BH35" si="22">BF31</f>
        <v>0.24822337676301406</v>
      </c>
      <c r="BG32">
        <f t="shared" si="22"/>
        <v>18.261195586967492</v>
      </c>
      <c r="BH32">
        <f>BH31</f>
        <v>6.0535714285714307E-3</v>
      </c>
      <c r="BI32">
        <f t="shared" ref="BI32:BK35" si="23">BI31</f>
        <v>-0.37392857142857167</v>
      </c>
      <c r="BJ32">
        <f t="shared" si="23"/>
        <v>11.120000000000001</v>
      </c>
      <c r="BK32">
        <f>BK31</f>
        <v>5.1428571428571421E-2</v>
      </c>
      <c r="BL32">
        <f t="shared" ref="BL32:BM35" si="24">BL31</f>
        <v>-3.3114285714285727</v>
      </c>
      <c r="BM32">
        <f t="shared" si="24"/>
        <v>122.40000000000012</v>
      </c>
      <c r="BO32" s="249">
        <f t="shared" si="9"/>
        <v>1.2503647585511141E-2</v>
      </c>
      <c r="BP32" s="250" t="e">
        <f>BO32*#REF!</f>
        <v>#REF!</v>
      </c>
      <c r="BQ32" s="250" t="e">
        <f t="shared" si="1"/>
        <v>#REF!</v>
      </c>
      <c r="BR32" s="249" t="e">
        <f>BQ32/#REF!</f>
        <v>#REF!</v>
      </c>
      <c r="BS32" s="251" t="e">
        <f t="shared" si="2"/>
        <v>#REF!</v>
      </c>
      <c r="BT32" s="101" t="e">
        <f t="shared" si="3"/>
        <v>#REF!</v>
      </c>
    </row>
    <row r="33" spans="2:72" x14ac:dyDescent="0.3">
      <c r="B33" s="117">
        <f>IF(ISNUMBER(VLOOKUP($E$31,$AU$16:$AV$41,2,0)),VLOOKUP($E$31,$AU$16:$AV$41,2,0),$E$31*(1+$AW$14))*C33</f>
        <v>1968.4</v>
      </c>
      <c r="C33" s="253">
        <v>1.33</v>
      </c>
      <c r="D33" s="404"/>
      <c r="E33" s="407"/>
      <c r="F33" s="365">
        <v>60</v>
      </c>
      <c r="G33" s="366">
        <f t="shared" si="0"/>
        <v>735</v>
      </c>
      <c r="H33" s="332">
        <f>IF($M$3="metric",'Katalogdaten M3G045'!H33,'Katalogdaten M3G045'!H33*3.412)</f>
        <v>6046.5880847454491</v>
      </c>
      <c r="I33" s="333">
        <f>IF($M$3="metric",'Katalogdaten M3G045'!I33,('Katalogdaten M3G045'!I33*1.8+32))</f>
        <v>62.076736133240189</v>
      </c>
      <c r="J33" s="334">
        <f>IF($M$3="metric",'Katalogdaten M3G045'!J33,'Katalogdaten M3G045'!J33*0.00440287)</f>
        <v>519.85918558197466</v>
      </c>
      <c r="K33" s="335">
        <f>IF($M$3="metric",'Katalogdaten M3G045'!K33,'Katalogdaten M3G045'!K33*0.335)</f>
        <v>26.768659574677432</v>
      </c>
      <c r="L33" s="336">
        <f>IF($M$3="metric",'Katalogdaten M3G045'!L33,'Katalogdaten M3G045'!L33*3.412)</f>
        <v>3978.7937187117236</v>
      </c>
      <c r="M33" s="333">
        <f>IF($M$3="metric",'Katalogdaten M3G045'!M33,('Katalogdaten M3G045'!M33*1.8+32))</f>
        <v>47.096714786144176</v>
      </c>
      <c r="N33" s="334">
        <f>IF($M$3="metric",'Katalogdaten M3G045'!N33,'Katalogdaten M3G045'!N33*0.00440287)</f>
        <v>342.07927400022805</v>
      </c>
      <c r="O33" s="335">
        <f>IF($M$3="metric",'Katalogdaten M3G045'!O33,'Katalogdaten M3G045'!O33*0.335)</f>
        <v>16.873323923568552</v>
      </c>
      <c r="P33" s="337">
        <f>IF($M$3="metric",'Katalogdaten M3G045'!AK33*0.277778,'Katalogdaten M3G045'!AK33*0.5886)</f>
        <v>118.05565000000001</v>
      </c>
      <c r="Q33" s="335">
        <f>'Katalogdaten M3G045'!AL33</f>
        <v>29.200517756089937</v>
      </c>
      <c r="R33" s="335">
        <f>'Katalogdaten M3G045'!AM33</f>
        <v>37.200517756089937</v>
      </c>
      <c r="S33" s="340">
        <f>'Katalogdaten M3G045'!AN33</f>
        <v>10.4</v>
      </c>
      <c r="T33" s="341">
        <f>'Katalogdaten M3G045'!AO33</f>
        <v>108</v>
      </c>
      <c r="U33" s="367"/>
      <c r="V33" s="367"/>
      <c r="W33" s="404"/>
      <c r="X33" s="368">
        <f t="shared" si="4"/>
        <v>60</v>
      </c>
      <c r="Y33" s="332">
        <f>IF($M$3="metric",'Katalogdaten M3G045'!T33,'Katalogdaten M3G045'!T33*3.412)</f>
        <v>1277.154192277739</v>
      </c>
      <c r="Z33" s="332">
        <f>IF($M$3="metric",'Katalogdaten M3G045'!U33,'Katalogdaten M3G045'!U33*3.412)</f>
        <v>1277.154192277739</v>
      </c>
      <c r="AA33" s="333">
        <f>IF($M$3="metric",'Katalogdaten M3G045'!V33,('Katalogdaten M3G045'!V33*1.8+32))</f>
        <v>18.529645708321411</v>
      </c>
      <c r="AB33" s="334">
        <f>IF($M$3="metric",'Katalogdaten M3G045'!W33,'Katalogdaten M3G045'!W33*0.00440287)</f>
        <v>549.02064515947643</v>
      </c>
      <c r="AC33" s="335">
        <f>IF($M$3="metric",'Katalogdaten M3G045'!X33,'Katalogdaten M3G045'!X33*0.335)</f>
        <v>29.542093611561508</v>
      </c>
      <c r="AD33" s="369">
        <f>IF($M$3="metric",'Katalogdaten M3G045'!Y33,'Katalogdaten M3G045'!Y33*0.00440287*60)</f>
        <v>0</v>
      </c>
      <c r="AE33" s="370">
        <f>'Katalogdaten M3G045'!Z33</f>
        <v>89.070158058431971</v>
      </c>
      <c r="AF33" s="333">
        <f>IF($M$3="metric",'Katalogdaten M3G045'!AA33,('Katalogdaten M3G045'!AA33*1.8+32))</f>
        <v>17.223547642109878</v>
      </c>
      <c r="AG33" s="336">
        <f>IF($M$3="metric",'Katalogdaten M3G045'!AB33,'Katalogdaten M3G045'!AB33*3.412)</f>
        <v>1201.6011258393594</v>
      </c>
      <c r="AH33" s="332">
        <f>IF($M$3="metric",'Katalogdaten M3G045'!AC33,'Katalogdaten M3G045'!AC33*3.412)</f>
        <v>1201.6011258393594</v>
      </c>
      <c r="AI33" s="333">
        <f>IF($M$3="metric",'Katalogdaten M3G045'!AD33,('Katalogdaten M3G045'!AD33*1.8+32))</f>
        <v>19.060308159161657</v>
      </c>
      <c r="AJ33" s="334">
        <f>IF($M$3="metric",'Katalogdaten M3G045'!AE33,'Katalogdaten M3G045'!AE33*0.00440287)</f>
        <v>516.5420348784437</v>
      </c>
      <c r="AK33" s="335">
        <f>IF($M$3="metric",'Katalogdaten M3G045'!AF33,'Katalogdaten M3G045'!AF33*0.335)</f>
        <v>19.338524811018164</v>
      </c>
      <c r="AL33" s="369">
        <f>IF($M$3="metric",'Katalogdaten M3G045'!AG33,'Katalogdaten M3G045'!AG33*0.00440287*60)</f>
        <v>0</v>
      </c>
      <c r="AM33" s="370">
        <f>'Katalogdaten M3G045'!AH33</f>
        <v>86.036853409244515</v>
      </c>
      <c r="AN33" s="335">
        <f>IF($M$3="metric",'Katalogdaten M3G045'!AI33,('Katalogdaten M3G045'!AI33*1.8+32))</f>
        <v>17.385839101746313</v>
      </c>
      <c r="AQ33" s="110"/>
      <c r="AV33"/>
      <c r="AX33">
        <v>60</v>
      </c>
      <c r="AY33">
        <f t="shared" si="5"/>
        <v>3600</v>
      </c>
      <c r="AZ33" s="214">
        <v>425</v>
      </c>
      <c r="BA33" s="194">
        <v>29.200517756089937</v>
      </c>
      <c r="BB33" s="195">
        <v>37.200517756089937</v>
      </c>
      <c r="BC33" s="201">
        <v>10.4</v>
      </c>
      <c r="BD33" s="206">
        <v>108</v>
      </c>
      <c r="BE33">
        <f t="shared" ref="BE33:BE35" si="25">BE32</f>
        <v>1.0455861161341275E-3</v>
      </c>
      <c r="BF33">
        <f t="shared" si="22"/>
        <v>0.24822337676301406</v>
      </c>
      <c r="BG33">
        <f t="shared" si="22"/>
        <v>18.261195586967492</v>
      </c>
      <c r="BH33">
        <f t="shared" si="22"/>
        <v>6.0535714285714307E-3</v>
      </c>
      <c r="BI33">
        <f t="shared" si="23"/>
        <v>-0.37392857142857167</v>
      </c>
      <c r="BJ33">
        <f t="shared" si="23"/>
        <v>11.120000000000001</v>
      </c>
      <c r="BK33">
        <f t="shared" si="23"/>
        <v>5.1428571428571421E-2</v>
      </c>
      <c r="BL33">
        <f t="shared" si="24"/>
        <v>-3.3114285714285727</v>
      </c>
      <c r="BM33">
        <f t="shared" si="24"/>
        <v>122.40000000000012</v>
      </c>
      <c r="BO33" s="249">
        <f t="shared" si="9"/>
        <v>1.2503647585511141E-2</v>
      </c>
      <c r="BP33" s="250" t="e">
        <f>BO33*#REF!</f>
        <v>#REF!</v>
      </c>
      <c r="BQ33" s="250" t="e">
        <f t="shared" si="1"/>
        <v>#REF!</v>
      </c>
      <c r="BR33" s="249" t="e">
        <f>BQ33/#REF!</f>
        <v>#REF!</v>
      </c>
      <c r="BS33" s="251" t="e">
        <f t="shared" si="2"/>
        <v>#REF!</v>
      </c>
      <c r="BT33" s="101" t="e">
        <f t="shared" si="3"/>
        <v>#REF!</v>
      </c>
    </row>
    <row r="34" spans="2:72" x14ac:dyDescent="0.3">
      <c r="B34" s="117">
        <f>IF(ISNUMBER(VLOOKUP($E$31,$AU$16:$AV$41,2,0)),VLOOKUP($E$31,$AU$16:$AV$41,2,0),$E$31*(1+$AW$14))*C34</f>
        <v>2205.1999999999998</v>
      </c>
      <c r="C34" s="253">
        <v>1.49</v>
      </c>
      <c r="D34" s="404"/>
      <c r="E34" s="407"/>
      <c r="F34" s="365">
        <v>40</v>
      </c>
      <c r="G34" s="366">
        <f t="shared" si="0"/>
        <v>495</v>
      </c>
      <c r="H34" s="332">
        <f>IF($M$3="metric",'Katalogdaten M3G045'!H34,'Katalogdaten M3G045'!H34*3.412)</f>
        <v>3967.4877317495052</v>
      </c>
      <c r="I34" s="333">
        <f>IF($M$3="metric",'Katalogdaten M3G045'!I34,('Katalogdaten M3G045'!I34*1.8+32))</f>
        <v>65.014160738656727</v>
      </c>
      <c r="J34" s="334">
        <f>IF($M$3="metric",'Katalogdaten M3G045'!J34,'Katalogdaten M3G045'!J34*0.00440287)</f>
        <v>341.10723471261605</v>
      </c>
      <c r="K34" s="335">
        <f>IF($M$3="metric",'Katalogdaten M3G045'!K34,'Katalogdaten M3G045'!K34*0.335)</f>
        <v>12.50498378592731</v>
      </c>
      <c r="L34" s="336">
        <f>IF($M$3="metric",'Katalogdaten M3G045'!L34,'Katalogdaten M3G045'!L34*3.412)</f>
        <v>2934.1027163555732</v>
      </c>
      <c r="M34" s="333">
        <f>IF($M$3="metric",'Katalogdaten M3G045'!M34,('Katalogdaten M3G045'!M34*1.8+32))</f>
        <v>52.07761688112582</v>
      </c>
      <c r="N34" s="334">
        <f>IF($M$3="metric",'Katalogdaten M3G045'!N34,'Katalogdaten M3G045'!N34*0.00440287)</f>
        <v>252.26131285287988</v>
      </c>
      <c r="O34" s="335">
        <f>IF($M$3="metric",'Katalogdaten M3G045'!O34,'Katalogdaten M3G045'!O34*0.335)</f>
        <v>9.8597427857225668</v>
      </c>
      <c r="P34" s="337">
        <f>IF($M$3="metric",'Katalogdaten M3G045'!AK34*0.277778,'Katalogdaten M3G045'!AK34*0.5886)</f>
        <v>70.833390000000009</v>
      </c>
      <c r="Q34" s="335">
        <f>'Katalogdaten M3G045'!AL34</f>
        <v>19.972589973201991</v>
      </c>
      <c r="R34" s="335">
        <f>'Katalogdaten M3G045'!AM34</f>
        <v>27.972589973201991</v>
      </c>
      <c r="S34" s="340">
        <f>'Katalogdaten M3G045'!AN34</f>
        <v>6.8</v>
      </c>
      <c r="T34" s="341">
        <f>'Katalogdaten M3G045'!AO34</f>
        <v>80</v>
      </c>
      <c r="U34" s="367"/>
      <c r="V34" s="367"/>
      <c r="W34" s="404"/>
      <c r="X34" s="368">
        <f t="shared" si="4"/>
        <v>40</v>
      </c>
      <c r="Y34" s="332">
        <f>IF($M$3="metric",'Katalogdaten M3G045'!T34,'Katalogdaten M3G045'!T34*3.412)</f>
        <v>809.82655567178858</v>
      </c>
      <c r="Z34" s="332">
        <f>IF($M$3="metric",'Katalogdaten M3G045'!U34,'Katalogdaten M3G045'!U34*3.412)</f>
        <v>809.82655567178858</v>
      </c>
      <c r="AA34" s="333">
        <f>IF($M$3="metric",'Katalogdaten M3G045'!V34,('Katalogdaten M3G045'!V34*1.8+32))</f>
        <v>18.020028613733821</v>
      </c>
      <c r="AB34" s="334">
        <f>IF($M$3="metric",'Katalogdaten M3G045'!W34,'Katalogdaten M3G045'!W34*0.00440287)</f>
        <v>348.12671856736443</v>
      </c>
      <c r="AC34" s="335">
        <f>IF($M$3="metric",'Katalogdaten M3G045'!X34,'Katalogdaten M3G045'!X34*0.335)</f>
        <v>12.973657599982021</v>
      </c>
      <c r="AD34" s="369">
        <f>IF($M$3="metric",'Katalogdaten M3G045'!Y34,'Katalogdaten M3G045'!Y34*0.00440287*60)</f>
        <v>0</v>
      </c>
      <c r="AE34" s="370">
        <f>'Katalogdaten M3G045'!Z34</f>
        <v>92.08925246078239</v>
      </c>
      <c r="AF34" s="333">
        <f>IF($M$3="metric",'Katalogdaten M3G045'!AA34,('Katalogdaten M3G045'!AA34*1.8+32))</f>
        <v>17.07048947957982</v>
      </c>
      <c r="AG34" s="336">
        <f>IF($M$3="metric",'Katalogdaten M3G045'!AB34,'Katalogdaten M3G045'!AB34*3.412)</f>
        <v>768.98576461300729</v>
      </c>
      <c r="AH34" s="332">
        <f>IF($M$3="metric",'Katalogdaten M3G045'!AC34,'Katalogdaten M3G045'!AC34*3.412)</f>
        <v>768.98576461300729</v>
      </c>
      <c r="AI34" s="333">
        <f>IF($M$3="metric",'Katalogdaten M3G045'!AD34,('Katalogdaten M3G045'!AD34*1.8+32))</f>
        <v>18.498118061305156</v>
      </c>
      <c r="AJ34" s="334">
        <f>IF($M$3="metric",'Katalogdaten M3G045'!AE34,'Katalogdaten M3G045'!AE34*0.00440287)</f>
        <v>330.57015602269144</v>
      </c>
      <c r="AK34" s="335">
        <f>IF($M$3="metric",'Katalogdaten M3G045'!AF34,'Katalogdaten M3G045'!AF34*0.335)</f>
        <v>8.7926079239279424</v>
      </c>
      <c r="AL34" s="369">
        <f>IF($M$3="metric",'Katalogdaten M3G045'!AG34,'Katalogdaten M3G045'!AG34*0.00440287*60)</f>
        <v>0</v>
      </c>
      <c r="AM34" s="370">
        <f>'Katalogdaten M3G045'!AH34</f>
        <v>89.253878343260183</v>
      </c>
      <c r="AN34" s="335">
        <f>IF($M$3="metric",'Katalogdaten M3G045'!AI34,('Katalogdaten M3G045'!AI34*1.8+32))</f>
        <v>17.213999569707767</v>
      </c>
      <c r="AQ34" s="110"/>
      <c r="AV34"/>
      <c r="AX34">
        <v>40</v>
      </c>
      <c r="AY34">
        <f t="shared" si="5"/>
        <v>1600</v>
      </c>
      <c r="AZ34" s="214">
        <v>255</v>
      </c>
      <c r="BA34" s="194">
        <v>19.972589973201991</v>
      </c>
      <c r="BB34" s="195">
        <v>27.972589973201991</v>
      </c>
      <c r="BC34" s="201">
        <v>6.8</v>
      </c>
      <c r="BD34" s="206">
        <v>80</v>
      </c>
      <c r="BE34">
        <f t="shared" si="25"/>
        <v>1.0455861161341275E-3</v>
      </c>
      <c r="BF34">
        <f t="shared" si="22"/>
        <v>0.24822337676301406</v>
      </c>
      <c r="BG34">
        <f t="shared" si="22"/>
        <v>18.261195586967492</v>
      </c>
      <c r="BH34">
        <f t="shared" si="22"/>
        <v>6.0535714285714307E-3</v>
      </c>
      <c r="BI34">
        <f t="shared" si="23"/>
        <v>-0.37392857142857167</v>
      </c>
      <c r="BJ34">
        <f t="shared" si="23"/>
        <v>11.120000000000001</v>
      </c>
      <c r="BK34">
        <f t="shared" si="23"/>
        <v>5.1428571428571421E-2</v>
      </c>
      <c r="BL34">
        <f t="shared" si="24"/>
        <v>-3.3114285714285727</v>
      </c>
      <c r="BM34">
        <f t="shared" si="24"/>
        <v>122.40000000000012</v>
      </c>
      <c r="BO34" s="249">
        <f t="shared" si="9"/>
        <v>1.2503647585511141E-2</v>
      </c>
      <c r="BP34" s="250" t="e">
        <f>BO34*#REF!</f>
        <v>#REF!</v>
      </c>
      <c r="BQ34" s="250" t="e">
        <f t="shared" si="1"/>
        <v>#REF!</v>
      </c>
      <c r="BR34" s="249" t="e">
        <f>BQ34/#REF!</f>
        <v>#REF!</v>
      </c>
      <c r="BS34" s="251" t="e">
        <f t="shared" si="2"/>
        <v>#REF!</v>
      </c>
      <c r="BT34" s="101" t="e">
        <f t="shared" si="3"/>
        <v>#REF!</v>
      </c>
    </row>
    <row r="35" spans="2:72" x14ac:dyDescent="0.3">
      <c r="B35" s="117">
        <f>IF(ISNUMBER(VLOOKUP($E$31,$AU$16:$AV$41,2,0)),VLOOKUP($E$31,$AU$16:$AV$41,2,0),$E$31*(1+$AW$14))*C35</f>
        <v>2456.7999999999997</v>
      </c>
      <c r="C35" s="253">
        <v>1.66</v>
      </c>
      <c r="D35" s="404"/>
      <c r="E35" s="408"/>
      <c r="F35" s="365">
        <v>20</v>
      </c>
      <c r="G35" s="366">
        <f t="shared" si="0"/>
        <v>315</v>
      </c>
      <c r="H35" s="332">
        <f>IF($M$3="metric",'Katalogdaten M3G045'!H35,'Katalogdaten M3G045'!H35*3.412)</f>
        <v>2450.6794232527805</v>
      </c>
      <c r="I35" s="333">
        <f>IF($M$3="metric",'Katalogdaten M3G045'!I35,('Katalogdaten M3G045'!I35*1.8+32))</f>
        <v>68.581732809654298</v>
      </c>
      <c r="J35" s="334">
        <f>IF($M$3="metric",'Katalogdaten M3G045'!J35,'Katalogdaten M3G045'!J35*0.00440287)</f>
        <v>210.69869341832751</v>
      </c>
      <c r="K35" s="335">
        <f>IF($M$3="metric",'Katalogdaten M3G045'!K35,'Katalogdaten M3G045'!K35*0.335)</f>
        <v>5.2378448607089174</v>
      </c>
      <c r="L35" s="336">
        <f>IF($M$3="metric",'Katalogdaten M3G045'!L35,'Katalogdaten M3G045'!L35*3.412)</f>
        <v>2071.2665039032536</v>
      </c>
      <c r="M35" s="333">
        <f>IF($M$3="metric",'Katalogdaten M3G045'!M35,('Katalogdaten M3G045'!M35*1.8+32))</f>
        <v>59.125142661069098</v>
      </c>
      <c r="N35" s="334">
        <f>IF($M$3="metric",'Katalogdaten M3G045'!N35,'Katalogdaten M3G045'!N35*0.00440287)</f>
        <v>178.07843080279864</v>
      </c>
      <c r="O35" s="335">
        <f>IF($M$3="metric",'Katalogdaten M3G045'!O35,'Katalogdaten M3G045'!O35*0.335)</f>
        <v>5.334324172327582</v>
      </c>
      <c r="P35" s="337">
        <f>IF($M$3="metric",'Katalogdaten M3G045'!AK35*0.277778,'Katalogdaten M3G045'!AK35*0.5886)</f>
        <v>34.722250000000003</v>
      </c>
      <c r="Q35" s="335">
        <f>'Katalogdaten M3G045'!AL35</f>
        <v>16.542168546188638</v>
      </c>
      <c r="R35" s="354">
        <f>'Katalogdaten M3G045'!AM35</f>
        <v>24.542168546188638</v>
      </c>
      <c r="S35" s="350">
        <f>'Katalogdaten M3G045'!AN35</f>
        <v>5.6</v>
      </c>
      <c r="T35" s="351">
        <f>'Katalogdaten M3G045'!AO35</f>
        <v>73</v>
      </c>
      <c r="U35" s="367"/>
      <c r="V35" s="367"/>
      <c r="W35" s="404"/>
      <c r="X35" s="368">
        <f t="shared" si="4"/>
        <v>20</v>
      </c>
      <c r="Y35" s="332">
        <f>IF($M$3="metric",'Katalogdaten M3G045'!T35,'Katalogdaten M3G045'!T35*3.412)</f>
        <v>454.36467240233918</v>
      </c>
      <c r="Z35" s="332">
        <f>IF($M$3="metric",'Katalogdaten M3G045'!U35,'Katalogdaten M3G045'!U35*3.412)</f>
        <v>454.36467240233918</v>
      </c>
      <c r="AA35" s="333">
        <f>IF($M$3="metric",'Katalogdaten M3G045'!V35,('Katalogdaten M3G045'!V35*1.8+32))</f>
        <v>16.649500360541154</v>
      </c>
      <c r="AB35" s="334">
        <f>IF($M$3="metric",'Katalogdaten M3G045'!W35,'Katalogdaten M3G045'!W35*0.00440287)</f>
        <v>195.32143189000163</v>
      </c>
      <c r="AC35" s="335">
        <f>IF($M$3="metric",'Katalogdaten M3G045'!X35,'Katalogdaten M3G045'!X35*0.335)</f>
        <v>4.5677653758412742</v>
      </c>
      <c r="AD35" s="369">
        <f>IF($M$3="metric",'Katalogdaten M3G045'!Y35,'Katalogdaten M3G045'!Y35*0.00440287*60)</f>
        <v>0</v>
      </c>
      <c r="AE35" s="334">
        <f>'Katalogdaten M3G045'!Z35</f>
        <v>100.75525032865379</v>
      </c>
      <c r="AF35" s="333">
        <f>IF($M$3="metric",'Katalogdaten M3G045'!AA35,('Katalogdaten M3G045'!AA35*1.8+32))</f>
        <v>16.672080000379111</v>
      </c>
      <c r="AG35" s="336">
        <f>IF($M$3="metric",'Katalogdaten M3G045'!AB35,'Katalogdaten M3G045'!AB35*3.412)</f>
        <v>436.0285353362338</v>
      </c>
      <c r="AH35" s="332">
        <f>IF($M$3="metric",'Katalogdaten M3G045'!AC35,'Katalogdaten M3G045'!AC35*3.412)</f>
        <v>436.0285353362338</v>
      </c>
      <c r="AI35" s="333">
        <f>IF($M$3="metric",'Katalogdaten M3G045'!AD35,('Katalogdaten M3G045'!AD35*1.8+32))</f>
        <v>17.087378260627254</v>
      </c>
      <c r="AJ35" s="334">
        <f>IF($M$3="metric",'Katalogdaten M3G045'!AE35,'Katalogdaten M3G045'!AE35*0.00440287)</f>
        <v>187.43912773077406</v>
      </c>
      <c r="AK35" s="335">
        <f>IF($M$3="metric",'Katalogdaten M3G045'!AF35,'Katalogdaten M3G045'!AF35*0.335)</f>
        <v>3.2284492547236252</v>
      </c>
      <c r="AL35" s="369">
        <f>IF($M$3="metric",'Katalogdaten M3G045'!AG35,'Katalogdaten M3G045'!AG35*0.00440287*60)</f>
        <v>0</v>
      </c>
      <c r="AM35" s="334">
        <f>'Katalogdaten M3G045'!AH35</f>
        <v>97.89681042323673</v>
      </c>
      <c r="AN35" s="335">
        <f>IF($M$3="metric",'Katalogdaten M3G045'!AI35,('Katalogdaten M3G045'!AI35*1.8+32))</f>
        <v>16.797317142837215</v>
      </c>
      <c r="AQ35" s="110"/>
      <c r="AV35"/>
      <c r="AX35">
        <v>20</v>
      </c>
      <c r="AY35">
        <f t="shared" si="5"/>
        <v>400</v>
      </c>
      <c r="AZ35" s="214">
        <v>125</v>
      </c>
      <c r="BA35" s="194">
        <v>16.542168546188638</v>
      </c>
      <c r="BB35" s="195">
        <v>24.542168546188638</v>
      </c>
      <c r="BC35" s="202">
        <v>5.6</v>
      </c>
      <c r="BD35" s="208">
        <v>73</v>
      </c>
      <c r="BE35">
        <f t="shared" si="25"/>
        <v>1.0455861161341275E-3</v>
      </c>
      <c r="BF35">
        <f t="shared" si="22"/>
        <v>0.24822337676301406</v>
      </c>
      <c r="BG35">
        <f t="shared" si="22"/>
        <v>18.261195586967492</v>
      </c>
      <c r="BH35">
        <f t="shared" si="22"/>
        <v>6.0535714285714307E-3</v>
      </c>
      <c r="BI35">
        <f t="shared" si="23"/>
        <v>-0.37392857142857167</v>
      </c>
      <c r="BJ35">
        <f t="shared" si="23"/>
        <v>11.120000000000001</v>
      </c>
      <c r="BK35">
        <f t="shared" si="23"/>
        <v>5.1428571428571421E-2</v>
      </c>
      <c r="BL35">
        <f t="shared" si="24"/>
        <v>-3.3114285714285727</v>
      </c>
      <c r="BM35">
        <f t="shared" si="24"/>
        <v>122.40000000000012</v>
      </c>
      <c r="BO35" s="249">
        <f t="shared" si="9"/>
        <v>1.2503647585511141E-2</v>
      </c>
      <c r="BP35" s="250" t="e">
        <f>BO35*#REF!</f>
        <v>#REF!</v>
      </c>
      <c r="BQ35" s="250" t="e">
        <f t="shared" si="1"/>
        <v>#REF!</v>
      </c>
      <c r="BR35" s="249" t="e">
        <f>BQ35/#REF!</f>
        <v>#REF!</v>
      </c>
      <c r="BS35" s="251" t="e">
        <f t="shared" si="2"/>
        <v>#REF!</v>
      </c>
      <c r="BT35" s="101" t="e">
        <f t="shared" si="3"/>
        <v>#REF!</v>
      </c>
    </row>
    <row r="36" spans="2:72" hidden="1" x14ac:dyDescent="0.3">
      <c r="B36" s="117">
        <f>IF(ISNUMBER(VLOOKUP($E$36,$AU$16:$AV$41,2,0)),VLOOKUP($E$36,$AU$16:$AV$41,2,0),$E$36*(1+$AW$14))*C36</f>
        <v>1890</v>
      </c>
      <c r="C36" s="253">
        <v>1</v>
      </c>
      <c r="D36" s="410">
        <f>IF($M$3="metric",2500,98.4)</f>
        <v>2500</v>
      </c>
      <c r="E36" s="411">
        <v>1690</v>
      </c>
      <c r="F36" s="259">
        <v>100</v>
      </c>
      <c r="G36" s="120">
        <f t="shared" si="0"/>
        <v>1205</v>
      </c>
      <c r="H36" s="305">
        <f>IF($M$3="metric",'Katalogdaten M3G045'!H36,'Katalogdaten M3G045'!H36*3.412)</f>
        <v>13078.483486813007</v>
      </c>
      <c r="I36" s="287">
        <f>IF($M$3="metric",'Katalogdaten M3G045'!I36,('Katalogdaten M3G045'!I36*1.8+32))</f>
        <v>58.735908017045432</v>
      </c>
      <c r="J36" s="286">
        <f>IF($M$3="metric",'Katalogdaten M3G045'!J36,'Katalogdaten M3G045'!J36*0.00440287)</f>
        <v>1124.4307829161705</v>
      </c>
      <c r="K36" s="265">
        <f>IF($M$3="metric",'Katalogdaten M3G045'!K36,'Katalogdaten M3G045'!K36*0.335)</f>
        <v>41.541482781515477</v>
      </c>
      <c r="L36" s="289">
        <f>IF($M$3="metric",'Katalogdaten M3G045'!L36,'Katalogdaten M3G045'!L36*3.412)</f>
        <v>7436.5484372520195</v>
      </c>
      <c r="M36" s="287">
        <f>IF($M$3="metric",'Katalogdaten M3G045'!M36,('Katalogdaten M3G045'!M36*1.8+32))</f>
        <v>43.030114543682906</v>
      </c>
      <c r="N36" s="286">
        <f>IF($M$3="metric",'Katalogdaten M3G045'!N36,'Katalogdaten M3G045'!N36*0.00440287)</f>
        <v>639.36189466650114</v>
      </c>
      <c r="O36" s="265">
        <f>IF($M$3="metric",'Katalogdaten M3G045'!O36,'Katalogdaten M3G045'!O36*0.335)</f>
        <v>63.817039841230311</v>
      </c>
      <c r="P36" s="323">
        <f>IF($M$3="metric",'Katalogdaten M3G045'!K36*0.277778,'Katalogdaten M3G045'!K36*0.5886)</f>
        <v>11.539310004083807</v>
      </c>
      <c r="Q36" s="265" t="e">
        <f t="shared" ref="Q36:Q45" si="26">R36-8</f>
        <v>#REF!</v>
      </c>
      <c r="R36" s="265" t="e">
        <f>IF(ISNUMBER(VLOOKUP(#REF!,$AX$36:$BB$40,5,0)),VLOOKUP(#REF!,$AX$36:$BB$40,5,0),#REF!^2*AK36+#REF!*AL36+AM36)</f>
        <v>#REF!</v>
      </c>
      <c r="S36" s="273" t="e">
        <f>IF(ISNUMBER(VLOOKUP(#REF!,$AX$36:$BC$40,6,0)),VLOOKUP(#REF!,$AX$36:$BC$40,6,0),#REF!^2*AN36+#REF!*#REF!+#REF!)</f>
        <v>#REF!</v>
      </c>
      <c r="T36" s="279" t="e">
        <f>IF(ISNUMBER(VLOOKUP(#REF!,$AX$36:$BD$40,7,0)),VLOOKUP(#REF!,$AX$36:$BD$40,7,0),#REF!^2*#REF!+#REF!*#REF!+#REF!)</f>
        <v>#REF!</v>
      </c>
      <c r="U36" s="257"/>
      <c r="V36" s="257"/>
      <c r="W36" s="410">
        <f>IF($M$3="metric",2500,98.4)</f>
        <v>2500</v>
      </c>
      <c r="X36" s="259">
        <f t="shared" si="4"/>
        <v>100</v>
      </c>
      <c r="Y36" s="305">
        <f>IF($M$3="metric",'Katalogdaten M3G045'!T36,'Katalogdaten M3G045'!T36*3.412)</f>
        <v>2503.5635412844745</v>
      </c>
      <c r="Z36" s="305">
        <f>IF($M$3="metric",'Katalogdaten M3G045'!U36,'Katalogdaten M3G045'!U36*3.412)</f>
        <v>2503.5635412844745</v>
      </c>
      <c r="AA36" s="287">
        <f>IF($M$3="metric",'Katalogdaten M3G045'!V36,('Katalogdaten M3G045'!V36*1.8+32))</f>
        <v>19.835052303759742</v>
      </c>
      <c r="AB36" s="286">
        <f>IF($M$3="metric",'Katalogdaten M3G045'!W36,'Katalogdaten M3G045'!W36*0.00440287)</f>
        <v>1076.2271924131426</v>
      </c>
      <c r="AC36" s="265">
        <f>IF($M$3="metric",'Katalogdaten M3G045'!X36,'Katalogdaten M3G045'!X36*0.335)</f>
        <v>38.431630419464014</v>
      </c>
      <c r="AD36" s="294">
        <f>IF($M$3="metric",'Katalogdaten M3G045'!Y36,'Katalogdaten M3G045'!Y36*0.00440287*60)</f>
        <v>0</v>
      </c>
      <c r="AE36" s="286">
        <f>'Katalogdaten M3G045'!Z36</f>
        <v>81.80211330910079</v>
      </c>
      <c r="AF36" s="287">
        <f>IF($M$3="metric",'Katalogdaten M3G045'!AA36,('Katalogdaten M3G045'!AA36*1.8+32))</f>
        <v>17.628201615780672</v>
      </c>
      <c r="AG36" s="289">
        <f>IF($M$3="metric",'Katalogdaten M3G045'!AB36,'Katalogdaten M3G045'!AB36*3.412)</f>
        <v>2328.4221896261724</v>
      </c>
      <c r="AH36" s="305">
        <f>IF($M$3="metric",'Katalogdaten M3G045'!AC36,'Katalogdaten M3G045'!AC36*3.412)</f>
        <v>2328.4221896261724</v>
      </c>
      <c r="AI36" s="287">
        <f>IF($M$3="metric",'Katalogdaten M3G045'!AD36,('Katalogdaten M3G045'!AD36*1.8+32))</f>
        <v>20.371267693452207</v>
      </c>
      <c r="AJ36" s="286">
        <f>IF($M$3="metric",'Katalogdaten M3G045'!AE36,'Katalogdaten M3G045'!AE36*0.00440287)</f>
        <v>1000.9377571492189</v>
      </c>
      <c r="AK36" s="265">
        <f>IF($M$3="metric",'Katalogdaten M3G045'!AF36,'Katalogdaten M3G045'!AF36*0.335)</f>
        <v>25.967838636008299</v>
      </c>
      <c r="AL36" s="294">
        <f>IF($M$3="metric",'Katalogdaten M3G045'!AG36,'Katalogdaten M3G045'!AG36*0.00440287*60)</f>
        <v>0</v>
      </c>
      <c r="AM36" s="286">
        <f>'Katalogdaten M3G045'!AH36</f>
        <v>79.000017382868691</v>
      </c>
      <c r="AN36" s="287">
        <f>IF($M$3="metric",'Katalogdaten M3G045'!AI36,('Katalogdaten M3G045'!AI36*1.8+32))</f>
        <v>17.799766096223959</v>
      </c>
      <c r="AQ36" s="110"/>
      <c r="AU36" s="109">
        <f>380+630+680</f>
        <v>1690</v>
      </c>
      <c r="AV36">
        <v>1890</v>
      </c>
      <c r="AW36">
        <f t="shared" ref="AW36" si="27">(AV36-AU36)/AU36</f>
        <v>0.11834319526627218</v>
      </c>
      <c r="AX36">
        <v>100</v>
      </c>
      <c r="AY36">
        <f t="shared" si="5"/>
        <v>10000</v>
      </c>
      <c r="AZ36" s="214">
        <v>975</v>
      </c>
      <c r="BA36" s="194">
        <v>45.841214051768304</v>
      </c>
      <c r="BB36" s="195">
        <v>53.841214051768304</v>
      </c>
      <c r="BC36" s="200">
        <v>43.1</v>
      </c>
      <c r="BD36" s="205">
        <v>383</v>
      </c>
      <c r="BE36">
        <f t="array" ref="BE36:BG36">LINEST(BB36:BB40,AX36:AY40)</f>
        <v>1.0455861161341297E-3</v>
      </c>
      <c r="BF36">
        <v>0.2482233767630137</v>
      </c>
      <c r="BG36">
        <v>19.367349676546596</v>
      </c>
      <c r="BH36">
        <f t="array" ref="BH36:BJ36">LINEST(BC36:BC40,AX36:AY40)</f>
        <v>7.5178571428571421E-3</v>
      </c>
      <c r="BI36">
        <v>-0.46364285714285725</v>
      </c>
      <c r="BJ36">
        <v>13.740000000000016</v>
      </c>
      <c r="BK36">
        <f t="array" ref="BK36:BM36">LINEST(BD36:BD40,AX36:AY40)</f>
        <v>6.3392857142857126E-2</v>
      </c>
      <c r="BL36">
        <v>-4.0521428571428562</v>
      </c>
      <c r="BM36">
        <v>150.20000000000005</v>
      </c>
      <c r="BO36" s="249">
        <f t="shared" si="9"/>
        <v>1.2503647585511141E-2</v>
      </c>
      <c r="BP36" s="250" t="e">
        <f>BO36*#REF!</f>
        <v>#REF!</v>
      </c>
      <c r="BQ36" s="250" t="e">
        <f t="shared" si="1"/>
        <v>#REF!</v>
      </c>
      <c r="BR36" s="249" t="e">
        <f>BQ36/#REF!</f>
        <v>#REF!</v>
      </c>
      <c r="BS36" s="251" t="e">
        <f t="shared" si="2"/>
        <v>#REF!</v>
      </c>
      <c r="BT36" s="101" t="e">
        <f t="shared" si="3"/>
        <v>#REF!</v>
      </c>
    </row>
    <row r="37" spans="2:72" hidden="1" x14ac:dyDescent="0.3">
      <c r="B37" s="117">
        <f>IF(ISNUMBER(VLOOKUP($E$36,$AU$16:$AV$41,2,0)),VLOOKUP($E$36,$AU$16:$AV$41,2,0),$E$36*(1+$AW$14))*C37</f>
        <v>2192.3999999999996</v>
      </c>
      <c r="C37" s="253">
        <v>1.1599999999999999</v>
      </c>
      <c r="D37" s="410"/>
      <c r="E37" s="412"/>
      <c r="F37" s="259">
        <v>80</v>
      </c>
      <c r="G37" s="120">
        <f t="shared" si="0"/>
        <v>985</v>
      </c>
      <c r="H37" s="305">
        <f>IF($M$3="metric",'Katalogdaten M3G045'!H37,'Katalogdaten M3G045'!H37*3.412)</f>
        <v>10549.638692072907</v>
      </c>
      <c r="I37" s="287">
        <f>IF($M$3="metric",'Katalogdaten M3G045'!I37,('Katalogdaten M3G045'!I37*1.8+32))</f>
        <v>60.086589522276746</v>
      </c>
      <c r="J37" s="286">
        <f>IF($M$3="metric",'Katalogdaten M3G045'!J37,'Katalogdaten M3G045'!J37*0.00440287)</f>
        <v>907.01177288414374</v>
      </c>
      <c r="K37" s="265">
        <f>IF($M$3="metric",'Katalogdaten M3G045'!K37,'Katalogdaten M3G045'!K37*0.335)</f>
        <v>28.363208478129192</v>
      </c>
      <c r="L37" s="289">
        <f>IF($M$3="metric",'Katalogdaten M3G045'!L37,'Katalogdaten M3G045'!L37*3.412)</f>
        <v>6366.7243300397722</v>
      </c>
      <c r="M37" s="287">
        <f>IF($M$3="metric",'Katalogdaten M3G045'!M37,('Katalogdaten M3G045'!M37*1.8+32))</f>
        <v>44.644920857354393</v>
      </c>
      <c r="N37" s="286">
        <f>IF($M$3="metric",'Katalogdaten M3G045'!N37,'Katalogdaten M3G045'!N37*0.00440287)</f>
        <v>547.3830991380911</v>
      </c>
      <c r="O37" s="265">
        <f>IF($M$3="metric",'Katalogdaten M3G045'!O37,'Katalogdaten M3G045'!O37*0.335)</f>
        <v>48.612517264663232</v>
      </c>
      <c r="P37" s="323">
        <f>IF($M$3="metric",'Katalogdaten M3G045'!K37*0.277778,'Katalogdaten M3G045'!K37*0.5886)</f>
        <v>7.8786753246377712</v>
      </c>
      <c r="Q37" s="265" t="e">
        <f t="shared" si="26"/>
        <v>#REF!</v>
      </c>
      <c r="R37" s="265" t="e">
        <f>IF(ISNUMBER(VLOOKUP(#REF!,$AX$36:$BB$40,5,0)),VLOOKUP(#REF!,$AX$36:$BB$40,5,0),#REF!^2*AK37+#REF!*AL37+AM37)</f>
        <v>#REF!</v>
      </c>
      <c r="S37" s="270" t="e">
        <f>IF(ISNUMBER(VLOOKUP(#REF!,$AX$36:$BC$40,6,0)),VLOOKUP(#REF!,$AX$36:$BC$40,6,0),#REF!^2*AN37+#REF!*#REF!+#REF!)</f>
        <v>#REF!</v>
      </c>
      <c r="T37" s="276" t="e">
        <f>IF(ISNUMBER(VLOOKUP(#REF!,$AX$36:$BD$40,7,0)),VLOOKUP(#REF!,$AX$36:$BD$40,7,0),#REF!^2*#REF!+#REF!*#REF!+#REF!)</f>
        <v>#REF!</v>
      </c>
      <c r="U37" s="257"/>
      <c r="V37" s="257"/>
      <c r="W37" s="410"/>
      <c r="X37" s="259">
        <f t="shared" si="4"/>
        <v>80</v>
      </c>
      <c r="Y37" s="305">
        <f>IF($M$3="metric",'Katalogdaten M3G045'!T37,'Katalogdaten M3G045'!T37*3.412)</f>
        <v>2163.010859222642</v>
      </c>
      <c r="Z37" s="305">
        <f>IF($M$3="metric",'Katalogdaten M3G045'!U37,'Katalogdaten M3G045'!U37*3.412)</f>
        <v>2163.010859222642</v>
      </c>
      <c r="AA37" s="287">
        <f>IF($M$3="metric",'Katalogdaten M3G045'!V37,('Katalogdaten M3G045'!V37*1.8+32))</f>
        <v>19.168711182580097</v>
      </c>
      <c r="AB37" s="286">
        <f>IF($M$3="metric",'Katalogdaten M3G045'!W37,'Katalogdaten M3G045'!W37*0.00440287)</f>
        <v>929.83104514534477</v>
      </c>
      <c r="AC37" s="265">
        <f>IF($M$3="metric",'Katalogdaten M3G045'!X37,'Katalogdaten M3G045'!X37*0.335)</f>
        <v>29.642805459426484</v>
      </c>
      <c r="AD37" s="294">
        <f>IF($M$3="metric",'Katalogdaten M3G045'!Y37,'Katalogdaten M3G045'!Y37*0.00440287*60)</f>
        <v>0</v>
      </c>
      <c r="AE37" s="281">
        <f>'Katalogdaten M3G045'!Z37</f>
        <v>85.430698083103124</v>
      </c>
      <c r="AF37" s="287">
        <f>IF($M$3="metric",'Katalogdaten M3G045'!AA37,('Katalogdaten M3G045'!AA37*1.8+32))</f>
        <v>17.419361316121918</v>
      </c>
      <c r="AG37" s="289">
        <f>IF($M$3="metric",'Katalogdaten M3G045'!AB37,'Katalogdaten M3G045'!AB37*3.412)</f>
        <v>2021.1864822416012</v>
      </c>
      <c r="AH37" s="305">
        <f>IF($M$3="metric",'Katalogdaten M3G045'!AC37,'Katalogdaten M3G045'!AC37*3.412)</f>
        <v>2021.1864822416012</v>
      </c>
      <c r="AI37" s="287">
        <f>IF($M$3="metric",'Katalogdaten M3G045'!AD37,('Katalogdaten M3G045'!AD37*1.8+32))</f>
        <v>19.71497743960866</v>
      </c>
      <c r="AJ37" s="286">
        <f>IF($M$3="metric",'Katalogdaten M3G045'!AE37,'Katalogdaten M3G045'!AE37*0.00440287)</f>
        <v>868.86384837280434</v>
      </c>
      <c r="AK37" s="265">
        <f>IF($M$3="metric",'Katalogdaten M3G045'!AF37,'Katalogdaten M3G045'!AF37*0.335)</f>
        <v>20.083767698154862</v>
      </c>
      <c r="AL37" s="294">
        <f>IF($M$3="metric",'Katalogdaten M3G045'!AG37,'Katalogdaten M3G045'!AG37*0.00440287*60)</f>
        <v>0</v>
      </c>
      <c r="AM37" s="281">
        <f>'Katalogdaten M3G045'!AH37</f>
        <v>82.443805117451205</v>
      </c>
      <c r="AN37" s="287">
        <f>IF($M$3="metric",'Katalogdaten M3G045'!AI37,('Katalogdaten M3G045'!AI37*1.8+32))</f>
        <v>17.590213245997536</v>
      </c>
      <c r="AQ37" s="110"/>
      <c r="AV37"/>
      <c r="AX37">
        <v>80</v>
      </c>
      <c r="AY37">
        <f t="shared" si="5"/>
        <v>6400</v>
      </c>
      <c r="AZ37" s="214">
        <v>775</v>
      </c>
      <c r="BA37" s="194">
        <v>39.431703370601809</v>
      </c>
      <c r="BB37" s="195">
        <v>47.431703370601809</v>
      </c>
      <c r="BC37" s="201">
        <v>23.7</v>
      </c>
      <c r="BD37" s="206">
        <v>224</v>
      </c>
      <c r="BE37">
        <f>BE36</f>
        <v>1.0455861161341297E-3</v>
      </c>
      <c r="BF37">
        <f t="shared" ref="BF37:BH40" si="28">BF36</f>
        <v>0.2482233767630137</v>
      </c>
      <c r="BG37">
        <f t="shared" si="28"/>
        <v>19.367349676546596</v>
      </c>
      <c r="BH37">
        <f>BH36</f>
        <v>7.5178571428571421E-3</v>
      </c>
      <c r="BI37">
        <f t="shared" ref="BI37:BK40" si="29">BI36</f>
        <v>-0.46364285714285725</v>
      </c>
      <c r="BJ37">
        <f t="shared" si="29"/>
        <v>13.740000000000016</v>
      </c>
      <c r="BK37">
        <f>BK36</f>
        <v>6.3392857142857126E-2</v>
      </c>
      <c r="BL37">
        <f t="shared" ref="BL37:BM40" si="30">BL36</f>
        <v>-4.0521428571428562</v>
      </c>
      <c r="BM37">
        <f t="shared" si="30"/>
        <v>150.20000000000005</v>
      </c>
      <c r="BO37" s="249">
        <f t="shared" si="9"/>
        <v>1.2503647585511141E-2</v>
      </c>
      <c r="BP37" s="250" t="e">
        <f>BO37*#REF!</f>
        <v>#REF!</v>
      </c>
      <c r="BQ37" s="250" t="e">
        <f t="shared" si="1"/>
        <v>#REF!</v>
      </c>
      <c r="BR37" s="249" t="e">
        <f>BQ37/#REF!</f>
        <v>#REF!</v>
      </c>
      <c r="BS37" s="251" t="e">
        <f t="shared" si="2"/>
        <v>#REF!</v>
      </c>
      <c r="BT37" s="101" t="e">
        <f t="shared" si="3"/>
        <v>#REF!</v>
      </c>
    </row>
    <row r="38" spans="2:72" hidden="1" x14ac:dyDescent="0.3">
      <c r="B38" s="117">
        <f>IF(ISNUMBER(VLOOKUP($E$36,$AU$16:$AV$41,2,0)),VLOOKUP($E$36,$AU$16:$AV$41,2,0),$E$36*(1+$AW$14))*C38</f>
        <v>2513.7000000000003</v>
      </c>
      <c r="C38" s="253">
        <v>1.33</v>
      </c>
      <c r="D38" s="410"/>
      <c r="E38" s="412"/>
      <c r="F38" s="259">
        <v>60</v>
      </c>
      <c r="G38" s="120">
        <f t="shared" si="0"/>
        <v>735</v>
      </c>
      <c r="H38" s="305">
        <f>IF($M$3="metric",'Katalogdaten M3G045'!H38,'Katalogdaten M3G045'!H38*3.412)</f>
        <v>7721.6564055195277</v>
      </c>
      <c r="I38" s="287">
        <f>IF($M$3="metric",'Katalogdaten M3G045'!I38,('Katalogdaten M3G045'!I38*1.8+32))</f>
        <v>62.142846103982421</v>
      </c>
      <c r="J38" s="286">
        <f>IF($M$3="metric",'Katalogdaten M3G045'!J38,'Katalogdaten M3G045'!J38*0.00440287)</f>
        <v>663.87423023644067</v>
      </c>
      <c r="K38" s="265">
        <f>IF($M$3="metric",'Katalogdaten M3G045'!K38,'Katalogdaten M3G045'!K38*0.335)</f>
        <v>16.295690087689113</v>
      </c>
      <c r="L38" s="289">
        <f>IF($M$3="metric",'Katalogdaten M3G045'!L38,'Katalogdaten M3G045'!L38*3.412)</f>
        <v>5081.0271137602422</v>
      </c>
      <c r="M38" s="287">
        <f>IF($M$3="metric",'Katalogdaten M3G045'!M38,('Katalogdaten M3G045'!M38*1.8+32))</f>
        <v>47.580859434539562</v>
      </c>
      <c r="N38" s="286">
        <f>IF($M$3="metric",'Katalogdaten M3G045'!N38,'Katalogdaten M3G045'!N38*0.00440287)</f>
        <v>436.84447828407508</v>
      </c>
      <c r="O38" s="265">
        <f>IF($M$3="metric",'Katalogdaten M3G045'!O38,'Katalogdaten M3G045'!O38*0.335)</f>
        <v>32.741943234521969</v>
      </c>
      <c r="P38" s="323">
        <f>IF($M$3="metric",'Katalogdaten M3G045'!K38*0.277778,'Katalogdaten M3G045'!K38*0.5886)</f>
        <v>4.5265842011781068</v>
      </c>
      <c r="Q38" s="265" t="e">
        <f t="shared" si="26"/>
        <v>#REF!</v>
      </c>
      <c r="R38" s="265" t="e">
        <f>IF(ISNUMBER(VLOOKUP(#REF!,$AX$36:$BB$40,5,0)),VLOOKUP(#REF!,$AX$36:$BB$40,5,0),#REF!^2*AK38+#REF!*AL38+AM38)</f>
        <v>#REF!</v>
      </c>
      <c r="S38" s="270" t="e">
        <f>IF(ISNUMBER(VLOOKUP(#REF!,$AX$36:$BC$40,6,0)),VLOOKUP(#REF!,$AX$36:$BC$40,6,0),#REF!^2*AN38+#REF!*#REF!+#REF!)</f>
        <v>#REF!</v>
      </c>
      <c r="T38" s="276" t="e">
        <f>IF(ISNUMBER(VLOOKUP(#REF!,$AX$36:$BD$40,7,0)),VLOOKUP(#REF!,$AX$36:$BD$40,7,0),#REF!^2*#REF!+#REF!*#REF!+#REF!)</f>
        <v>#REF!</v>
      </c>
      <c r="U38" s="257"/>
      <c r="V38" s="257"/>
      <c r="W38" s="410"/>
      <c r="X38" s="259">
        <f t="shared" si="4"/>
        <v>60</v>
      </c>
      <c r="Y38" s="305">
        <f>IF($M$3="metric",'Katalogdaten M3G045'!T38,'Katalogdaten M3G045'!T38*3.412)</f>
        <v>1630.9604212195452</v>
      </c>
      <c r="Z38" s="305">
        <f>IF($M$3="metric",'Katalogdaten M3G045'!U38,'Katalogdaten M3G045'!U38*3.412)</f>
        <v>1630.9604212195452</v>
      </c>
      <c r="AA38" s="287">
        <f>IF($M$3="metric",'Katalogdaten M3G045'!V38,('Katalogdaten M3G045'!V38*1.8+32))</f>
        <v>18.566901704945664</v>
      </c>
      <c r="AB38" s="286">
        <f>IF($M$3="metric",'Katalogdaten M3G045'!W38,'Katalogdaten M3G045'!W38*0.00440287)</f>
        <v>701.11420226446671</v>
      </c>
      <c r="AC38" s="265">
        <f>IF($M$3="metric",'Katalogdaten M3G045'!X38,'Katalogdaten M3G045'!X38*0.335)</f>
        <v>17.954231975632727</v>
      </c>
      <c r="AD38" s="294">
        <f>IF($M$3="metric",'Katalogdaten M3G045'!Y38,'Katalogdaten M3G045'!Y38*0.00440287*60)</f>
        <v>0</v>
      </c>
      <c r="AE38" s="281">
        <f>'Katalogdaten M3G045'!Z38</f>
        <v>88.853570027932676</v>
      </c>
      <c r="AF38" s="287">
        <f>IF($M$3="metric",'Katalogdaten M3G045'!AA38,('Katalogdaten M3G045'!AA38*1.8+32))</f>
        <v>17.234844052493621</v>
      </c>
      <c r="AG38" s="289">
        <f>IF($M$3="metric",'Katalogdaten M3G045'!AB38,'Katalogdaten M3G045'!AB38*3.412)</f>
        <v>1534.4771134029656</v>
      </c>
      <c r="AH38" s="305">
        <f>IF($M$3="metric",'Katalogdaten M3G045'!AC38,'Katalogdaten M3G045'!AC38*3.412)</f>
        <v>1534.4771134029656</v>
      </c>
      <c r="AI38" s="287">
        <f>IF($M$3="metric",'Katalogdaten M3G045'!AD38,('Katalogdaten M3G045'!AD38*1.8+32))</f>
        <v>19.095360189494919</v>
      </c>
      <c r="AJ38" s="286">
        <f>IF($M$3="metric",'Katalogdaten M3G045'!AE38,'Katalogdaten M3G045'!AE38*0.00440287)</f>
        <v>659.63813913530987</v>
      </c>
      <c r="AK38" s="265">
        <f>IF($M$3="metric",'Katalogdaten M3G045'!AF38,'Katalogdaten M3G045'!AF38*0.335)</f>
        <v>12.17845056896109</v>
      </c>
      <c r="AL38" s="294">
        <f>IF($M$3="metric",'Katalogdaten M3G045'!AG38,'Katalogdaten M3G045'!AG38*0.00440287*60)</f>
        <v>0</v>
      </c>
      <c r="AM38" s="281">
        <f>'Katalogdaten M3G045'!AH38</f>
        <v>85.84035991121246</v>
      </c>
      <c r="AN38" s="287">
        <f>IF($M$3="metric",'Katalogdaten M3G045'!AI38,('Katalogdaten M3G045'!AI38*1.8+32))</f>
        <v>17.396664700829724</v>
      </c>
      <c r="AQ38" s="110"/>
      <c r="AV38"/>
      <c r="AX38">
        <v>60</v>
      </c>
      <c r="AY38">
        <f t="shared" si="5"/>
        <v>3600</v>
      </c>
      <c r="AZ38" s="214">
        <v>545</v>
      </c>
      <c r="BA38" s="194">
        <v>30.30667184566903</v>
      </c>
      <c r="BB38" s="195">
        <v>38.30667184566903</v>
      </c>
      <c r="BC38" s="201">
        <v>12.9</v>
      </c>
      <c r="BD38" s="206">
        <v>134</v>
      </c>
      <c r="BE38">
        <f t="shared" ref="BE38:BE40" si="31">BE37</f>
        <v>1.0455861161341297E-3</v>
      </c>
      <c r="BF38">
        <f t="shared" si="28"/>
        <v>0.2482233767630137</v>
      </c>
      <c r="BG38">
        <f t="shared" si="28"/>
        <v>19.367349676546596</v>
      </c>
      <c r="BH38">
        <f t="shared" si="28"/>
        <v>7.5178571428571421E-3</v>
      </c>
      <c r="BI38">
        <f t="shared" si="29"/>
        <v>-0.46364285714285725</v>
      </c>
      <c r="BJ38">
        <f t="shared" si="29"/>
        <v>13.740000000000016</v>
      </c>
      <c r="BK38">
        <f t="shared" si="29"/>
        <v>6.3392857142857126E-2</v>
      </c>
      <c r="BL38">
        <f t="shared" si="30"/>
        <v>-4.0521428571428562</v>
      </c>
      <c r="BM38">
        <f t="shared" si="30"/>
        <v>150.20000000000005</v>
      </c>
      <c r="BO38" s="249">
        <f t="shared" si="9"/>
        <v>1.2503647585511141E-2</v>
      </c>
      <c r="BP38" s="250" t="e">
        <f>BO38*#REF!</f>
        <v>#REF!</v>
      </c>
      <c r="BQ38" s="250" t="e">
        <f t="shared" si="1"/>
        <v>#REF!</v>
      </c>
      <c r="BR38" s="249" t="e">
        <f>BQ38/#REF!</f>
        <v>#REF!</v>
      </c>
      <c r="BS38" s="251" t="e">
        <f t="shared" si="2"/>
        <v>#REF!</v>
      </c>
      <c r="BT38" s="101" t="e">
        <f t="shared" si="3"/>
        <v>#REF!</v>
      </c>
    </row>
    <row r="39" spans="2:72" hidden="1" x14ac:dyDescent="0.3">
      <c r="B39" s="117">
        <f>IF(ISNUMBER(VLOOKUP($E$36,$AU$16:$AV$41,2,0)),VLOOKUP($E$36,$AU$16:$AV$41,2,0),$E$36*(1+$AW$14))*C39</f>
        <v>2816.1</v>
      </c>
      <c r="C39" s="253">
        <v>1.49</v>
      </c>
      <c r="D39" s="410"/>
      <c r="E39" s="412"/>
      <c r="F39" s="259">
        <v>40</v>
      </c>
      <c r="G39" s="120">
        <f t="shared" si="0"/>
        <v>495</v>
      </c>
      <c r="H39" s="305">
        <f>IF($M$3="metric",'Katalogdaten M3G045'!H39,'Katalogdaten M3G045'!H39*3.412)</f>
        <v>5066.589062842274</v>
      </c>
      <c r="I39" s="287">
        <f>IF($M$3="metric",'Katalogdaten M3G045'!I39,('Katalogdaten M3G045'!I39*1.8+32))</f>
        <v>65.077597977724324</v>
      </c>
      <c r="J39" s="286">
        <f>IF($M$3="metric",'Katalogdaten M3G045'!J39,'Katalogdaten M3G045'!J39*0.00440287)</f>
        <v>435.60315784246239</v>
      </c>
      <c r="K39" s="265">
        <f>IF($M$3="metric",'Katalogdaten M3G045'!K39,'Katalogdaten M3G045'!K39*0.335)</f>
        <v>7.7106733717345595</v>
      </c>
      <c r="L39" s="289">
        <f>IF($M$3="metric",'Katalogdaten M3G045'!L39,'Katalogdaten M3G045'!L39*3.412)</f>
        <v>3746.9284688594821</v>
      </c>
      <c r="M39" s="287">
        <f>IF($M$3="metric",'Katalogdaten M3G045'!M39,('Katalogdaten M3G045'!M39*1.8+32))</f>
        <v>52.522363930078811</v>
      </c>
      <c r="N39" s="286">
        <f>IF($M$3="metric",'Katalogdaten M3G045'!N39,'Katalogdaten M3G045'!N39*0.00440287)</f>
        <v>322.14451438644801</v>
      </c>
      <c r="O39" s="265">
        <f>IF($M$3="metric",'Katalogdaten M3G045'!O39,'Katalogdaten M3G045'!O39*0.335)</f>
        <v>19.20186794032216</v>
      </c>
      <c r="P39" s="323">
        <f>IF($M$3="metric",'Katalogdaten M3G045'!K39*0.277778,'Katalogdaten M3G045'!K39*0.5886)</f>
        <v>2.1418554278536828</v>
      </c>
      <c r="Q39" s="265" t="e">
        <f t="shared" si="26"/>
        <v>#REF!</v>
      </c>
      <c r="R39" s="265" t="e">
        <f>IF(ISNUMBER(VLOOKUP(#REF!,$AX$36:$BB$40,5,0)),VLOOKUP(#REF!,$AX$36:$BB$40,5,0),#REF!^2*AK39+#REF!*AL39+AM39)</f>
        <v>#REF!</v>
      </c>
      <c r="S39" s="270" t="e">
        <f>IF(ISNUMBER(VLOOKUP(#REF!,$AX$36:$BC$40,6,0)),VLOOKUP(#REF!,$AX$36:$BC$40,6,0),#REF!^2*AN39+#REF!*#REF!+#REF!)</f>
        <v>#REF!</v>
      </c>
      <c r="T39" s="276" t="e">
        <f>IF(ISNUMBER(VLOOKUP(#REF!,$AX$36:$BD$40,7,0)),VLOOKUP(#REF!,$AX$36:$BD$40,7,0),#REF!^2*#REF!+#REF!*#REF!+#REF!)</f>
        <v>#REF!</v>
      </c>
      <c r="U39" s="257"/>
      <c r="V39" s="257"/>
      <c r="W39" s="410"/>
      <c r="X39" s="259">
        <f t="shared" si="4"/>
        <v>40</v>
      </c>
      <c r="Y39" s="305">
        <f>IF($M$3="metric",'Katalogdaten M3G045'!T39,'Katalogdaten M3G045'!T39*3.412)</f>
        <v>1034.1703987970816</v>
      </c>
      <c r="Z39" s="305">
        <f>IF($M$3="metric",'Katalogdaten M3G045'!U39,'Katalogdaten M3G045'!U39*3.412)</f>
        <v>1034.1703987970816</v>
      </c>
      <c r="AA39" s="287">
        <f>IF($M$3="metric",'Katalogdaten M3G045'!V39,('Katalogdaten M3G045'!V39*1.8+32))</f>
        <v>18.001305177523935</v>
      </c>
      <c r="AB39" s="286">
        <f>IF($M$3="metric",'Katalogdaten M3G045'!W39,'Katalogdaten M3G045'!W39*0.00440287)</f>
        <v>444.56722844075608</v>
      </c>
      <c r="AC39" s="265">
        <f>IF($M$3="metric",'Katalogdaten M3G045'!X39,'Katalogdaten M3G045'!X39*0.335)</f>
        <v>7.9947092518932035</v>
      </c>
      <c r="AD39" s="294">
        <f>IF($M$3="metric",'Katalogdaten M3G045'!Y39,'Katalogdaten M3G045'!Y39*0.00440287*60)</f>
        <v>0</v>
      </c>
      <c r="AE39" s="281">
        <f>'Katalogdaten M3G045'!Z39</f>
        <v>92.202205122690273</v>
      </c>
      <c r="AF39" s="287">
        <f>IF($M$3="metric",'Katalogdaten M3G045'!AA39,('Katalogdaten M3G045'!AA39*1.8+32))</f>
        <v>17.064917703212842</v>
      </c>
      <c r="AG39" s="289">
        <f>IF($M$3="metric",'Katalogdaten M3G045'!AB39,'Katalogdaten M3G045'!AB39*3.412)</f>
        <v>982.01560480985381</v>
      </c>
      <c r="AH39" s="305">
        <f>IF($M$3="metric",'Katalogdaten M3G045'!AC39,'Katalogdaten M3G045'!AC39*3.412)</f>
        <v>982.01560480985381</v>
      </c>
      <c r="AI39" s="287">
        <f>IF($M$3="metric",'Katalogdaten M3G045'!AD39,('Katalogdaten M3G045'!AD39*1.8+32))</f>
        <v>18.48033887660295</v>
      </c>
      <c r="AJ39" s="286">
        <f>IF($M$3="metric",'Katalogdaten M3G045'!AE39,'Katalogdaten M3G045'!AE39*0.00440287)</f>
        <v>422.14702356951807</v>
      </c>
      <c r="AK39" s="265">
        <f>IF($M$3="metric",'Katalogdaten M3G045'!AF39,'Katalogdaten M3G045'!AF39*0.335)</f>
        <v>5.4151898408358523</v>
      </c>
      <c r="AL39" s="294">
        <f>IF($M$3="metric",'Katalogdaten M3G045'!AG39,'Katalogdaten M3G045'!AG39*0.00440287*60)</f>
        <v>0</v>
      </c>
      <c r="AM39" s="281">
        <f>'Katalogdaten M3G045'!AH39</f>
        <v>89.357658382104006</v>
      </c>
      <c r="AN39" s="287">
        <f>IF($M$3="metric",'Katalogdaten M3G045'!AI39,('Katalogdaten M3G045'!AI39*1.8+32))</f>
        <v>17.208619807517294</v>
      </c>
      <c r="AQ39" s="110"/>
      <c r="AV39"/>
      <c r="AX39">
        <v>40</v>
      </c>
      <c r="AY39">
        <f t="shared" si="5"/>
        <v>1600</v>
      </c>
      <c r="AZ39" s="214">
        <v>325</v>
      </c>
      <c r="BA39" s="194">
        <v>21.078744062781084</v>
      </c>
      <c r="BB39" s="195">
        <v>29.078744062781084</v>
      </c>
      <c r="BC39" s="201">
        <v>8.4</v>
      </c>
      <c r="BD39" s="206">
        <v>99</v>
      </c>
      <c r="BE39">
        <f t="shared" si="31"/>
        <v>1.0455861161341297E-3</v>
      </c>
      <c r="BF39">
        <f t="shared" si="28"/>
        <v>0.2482233767630137</v>
      </c>
      <c r="BG39">
        <f t="shared" si="28"/>
        <v>19.367349676546596</v>
      </c>
      <c r="BH39">
        <f t="shared" si="28"/>
        <v>7.5178571428571421E-3</v>
      </c>
      <c r="BI39">
        <f t="shared" si="29"/>
        <v>-0.46364285714285725</v>
      </c>
      <c r="BJ39">
        <f t="shared" si="29"/>
        <v>13.740000000000016</v>
      </c>
      <c r="BK39">
        <f t="shared" si="29"/>
        <v>6.3392857142857126E-2</v>
      </c>
      <c r="BL39">
        <f t="shared" si="30"/>
        <v>-4.0521428571428562</v>
      </c>
      <c r="BM39">
        <f t="shared" si="30"/>
        <v>150.20000000000005</v>
      </c>
      <c r="BO39" s="249">
        <f t="shared" si="9"/>
        <v>1.2503647585511141E-2</v>
      </c>
      <c r="BP39" s="250" t="e">
        <f>BO39*#REF!</f>
        <v>#REF!</v>
      </c>
      <c r="BQ39" s="250" t="e">
        <f t="shared" si="1"/>
        <v>#REF!</v>
      </c>
      <c r="BR39" s="249" t="e">
        <f>BQ39/#REF!</f>
        <v>#REF!</v>
      </c>
      <c r="BS39" s="251" t="e">
        <f t="shared" si="2"/>
        <v>#REF!</v>
      </c>
      <c r="BT39" s="101" t="e">
        <f t="shared" si="3"/>
        <v>#REF!</v>
      </c>
    </row>
    <row r="40" spans="2:72" hidden="1" x14ac:dyDescent="0.3">
      <c r="B40" s="117">
        <f>IF(ISNUMBER(VLOOKUP($E$36,$AU$16:$AV$41,2,0)),VLOOKUP($E$36,$AU$16:$AV$41,2,0),$E$36*(1+$AW$14))*C40</f>
        <v>3137.3999999999996</v>
      </c>
      <c r="C40" s="253">
        <v>1.66</v>
      </c>
      <c r="D40" s="413"/>
      <c r="E40" s="414"/>
      <c r="F40" s="260">
        <v>20</v>
      </c>
      <c r="G40" s="120">
        <f t="shared" si="0"/>
        <v>315</v>
      </c>
      <c r="H40" s="306">
        <f>IF($M$3="metric",'Katalogdaten M3G045'!H40,'Katalogdaten M3G045'!H40*3.412)</f>
        <v>3129.5838580728073</v>
      </c>
      <c r="I40" s="287">
        <f>IF($M$3="metric",'Katalogdaten M3G045'!I40,('Katalogdaten M3G045'!I40*1.8+32))</f>
        <v>68.642353567823164</v>
      </c>
      <c r="J40" s="282">
        <f>IF($M$3="metric",'Katalogdaten M3G045'!J40,'Katalogdaten M3G045'!J40*0.00440287)</f>
        <v>269.06792605448584</v>
      </c>
      <c r="K40" s="266">
        <f>IF($M$3="metric",'Katalogdaten M3G045'!K40,'Katalogdaten M3G045'!K40*0.335)</f>
        <v>3.2773465672252753</v>
      </c>
      <c r="L40" s="291">
        <f>IF($M$3="metric",'Katalogdaten M3G045'!L40,'Katalogdaten M3G045'!L40*3.412)</f>
        <v>2645.063305660236</v>
      </c>
      <c r="M40" s="287">
        <f>IF($M$3="metric",'Katalogdaten M3G045'!M40,('Katalogdaten M3G045'!M40*1.8+32))</f>
        <v>59.530229804833347</v>
      </c>
      <c r="N40" s="282">
        <f>IF($M$3="metric",'Katalogdaten M3G045'!N40,'Katalogdaten M3G045'!N40*0.00440287)</f>
        <v>227.41096906573608</v>
      </c>
      <c r="O40" s="266">
        <f>IF($M$3="metric",'Katalogdaten M3G045'!O40,'Katalogdaten M3G045'!O40*0.335)</f>
        <v>10.431747002970663</v>
      </c>
      <c r="P40" s="323">
        <f>IF($M$3="metric",'Katalogdaten M3G045'!K40*0.277778,'Katalogdaten M3G045'!K40*0.5886)</f>
        <v>0.91037477475070261</v>
      </c>
      <c r="Q40" s="266" t="e">
        <f t="shared" si="26"/>
        <v>#REF!</v>
      </c>
      <c r="R40" s="266" t="e">
        <f>IF(ISNUMBER(VLOOKUP(#REF!,$AX$36:$BB$40,5,0)),VLOOKUP(#REF!,$AX$36:$BB$40,5,0),#REF!^2*AK40+#REF!*AL40+AM40)</f>
        <v>#REF!</v>
      </c>
      <c r="S40" s="271" t="e">
        <f>IF(ISNUMBER(VLOOKUP(#REF!,$AX$36:$BC$40,6,0)),VLOOKUP(#REF!,$AX$36:$BC$40,6,0),#REF!^2*AN40+#REF!*#REF!+#REF!)</f>
        <v>#REF!</v>
      </c>
      <c r="T40" s="277" t="e">
        <f>IF(ISNUMBER(VLOOKUP(#REF!,$AX$36:$BD$40,7,0)),VLOOKUP(#REF!,$AX$36:$BD$40,7,0),#REF!^2*#REF!+#REF!*#REF!+#REF!)</f>
        <v>#REF!</v>
      </c>
      <c r="U40" s="257"/>
      <c r="V40" s="257"/>
      <c r="W40" s="413"/>
      <c r="X40" s="260">
        <f t="shared" si="4"/>
        <v>20</v>
      </c>
      <c r="Y40" s="306">
        <f>IF($M$3="metric",'Katalogdaten M3G045'!T40,'Katalogdaten M3G045'!T40*3.412)</f>
        <v>580.23596678406818</v>
      </c>
      <c r="Z40" s="306">
        <f>IF($M$3="metric",'Katalogdaten M3G045'!U40,'Katalogdaten M3G045'!U40*3.412)</f>
        <v>580.23596678406818</v>
      </c>
      <c r="AA40" s="287">
        <f>IF($M$3="metric",'Katalogdaten M3G045'!V40,('Katalogdaten M3G045'!V40*1.8+32))</f>
        <v>16.674702112237533</v>
      </c>
      <c r="AB40" s="282">
        <f>IF($M$3="metric",'Katalogdaten M3G045'!W40,'Katalogdaten M3G045'!W40*0.00440287)</f>
        <v>249.43074748115075</v>
      </c>
      <c r="AC40" s="266">
        <f>IF($M$3="metric",'Katalogdaten M3G045'!X40,'Katalogdaten M3G045'!X40*0.335)</f>
        <v>2.8646663666894465</v>
      </c>
      <c r="AD40" s="295">
        <f>IF($M$3="metric",'Katalogdaten M3G045'!Y40,'Katalogdaten M3G045'!Y40*0.00440287*60)</f>
        <v>0</v>
      </c>
      <c r="AE40" s="282">
        <f>'Katalogdaten M3G045'!Z40</f>
        <v>100.58837563997167</v>
      </c>
      <c r="AF40" s="287">
        <f>IF($M$3="metric",'Katalogdaten M3G045'!AA40,('Katalogdaten M3G045'!AA40*1.8+32))</f>
        <v>16.679236758599053</v>
      </c>
      <c r="AG40" s="291">
        <f>IF($M$3="metric",'Katalogdaten M3G045'!AB40,'Katalogdaten M3G045'!AB40*3.412)</f>
        <v>556.82022417937969</v>
      </c>
      <c r="AH40" s="306">
        <f>IF($M$3="metric",'Katalogdaten M3G045'!AC40,'Katalogdaten M3G045'!AC40*3.412)</f>
        <v>556.82022417937969</v>
      </c>
      <c r="AI40" s="287">
        <f>IF($M$3="metric",'Katalogdaten M3G045'!AD40,('Katalogdaten M3G045'!AD40*1.8+32))</f>
        <v>17.111562981727992</v>
      </c>
      <c r="AJ40" s="282">
        <f>IF($M$3="metric",'Katalogdaten M3G045'!AE40,'Katalogdaten M3G045'!AE40*0.00440287)</f>
        <v>239.36483203456959</v>
      </c>
      <c r="AK40" s="266">
        <f>IF($M$3="metric",'Katalogdaten M3G045'!AF40,'Katalogdaten M3G045'!AF40*0.335)</f>
        <v>1.9328333655774128</v>
      </c>
      <c r="AL40" s="295">
        <f>IF($M$3="metric",'Katalogdaten M3G045'!AG40,'Katalogdaten M3G045'!AG40*0.00440287*60)</f>
        <v>0</v>
      </c>
      <c r="AM40" s="282">
        <f>'Katalogdaten M3G045'!AH40</f>
        <v>97.741442342422502</v>
      </c>
      <c r="AN40" s="287">
        <f>IF($M$3="metric",'Katalogdaten M3G045'!AI40,('Katalogdaten M3G045'!AI40*1.8+32))</f>
        <v>16.804289593826809</v>
      </c>
      <c r="AQ40" s="110"/>
      <c r="AV40"/>
      <c r="AX40">
        <v>20</v>
      </c>
      <c r="AY40">
        <f t="shared" si="5"/>
        <v>400</v>
      </c>
      <c r="AZ40" s="215">
        <v>160</v>
      </c>
      <c r="BA40" s="196">
        <v>17.648322635767734</v>
      </c>
      <c r="BB40" s="197">
        <v>25.648322635767734</v>
      </c>
      <c r="BC40" s="203">
        <v>6.9</v>
      </c>
      <c r="BD40" s="207">
        <v>90</v>
      </c>
      <c r="BE40">
        <f t="shared" si="31"/>
        <v>1.0455861161341297E-3</v>
      </c>
      <c r="BF40">
        <f t="shared" si="28"/>
        <v>0.2482233767630137</v>
      </c>
      <c r="BG40">
        <f t="shared" si="28"/>
        <v>19.367349676546596</v>
      </c>
      <c r="BH40">
        <f t="shared" si="28"/>
        <v>7.5178571428571421E-3</v>
      </c>
      <c r="BI40">
        <f t="shared" si="29"/>
        <v>-0.46364285714285725</v>
      </c>
      <c r="BJ40">
        <f t="shared" si="29"/>
        <v>13.740000000000016</v>
      </c>
      <c r="BK40">
        <f t="shared" si="29"/>
        <v>6.3392857142857126E-2</v>
      </c>
      <c r="BL40">
        <f t="shared" si="30"/>
        <v>-4.0521428571428562</v>
      </c>
      <c r="BM40">
        <f t="shared" si="30"/>
        <v>150.20000000000005</v>
      </c>
      <c r="BO40" s="249">
        <f t="shared" si="9"/>
        <v>1.2503647585511141E-2</v>
      </c>
      <c r="BP40" s="250" t="e">
        <f>BO40*#REF!</f>
        <v>#REF!</v>
      </c>
      <c r="BQ40" s="250" t="e">
        <f t="shared" si="1"/>
        <v>#REF!</v>
      </c>
      <c r="BR40" s="249" t="e">
        <f>BQ40/#REF!</f>
        <v>#REF!</v>
      </c>
      <c r="BS40" s="251" t="e">
        <f t="shared" si="2"/>
        <v>#REF!</v>
      </c>
      <c r="BT40" s="101" t="e">
        <f t="shared" si="3"/>
        <v>#REF!</v>
      </c>
    </row>
    <row r="41" spans="2:72" hidden="1" x14ac:dyDescent="0.3">
      <c r="B41" s="117">
        <f>IF(ISNUMBER(VLOOKUP($E$41,$AU$16:$AV$41,2,0)),VLOOKUP($E$41,$AU$16:$AV$41,2,0),$E$41*(1+$AW$14))*C41</f>
        <v>2520</v>
      </c>
      <c r="C41" s="253">
        <v>1</v>
      </c>
      <c r="D41" s="409">
        <f>IF($M$3="metric",3000,118.1)</f>
        <v>3000</v>
      </c>
      <c r="E41" s="411">
        <v>2190</v>
      </c>
      <c r="F41" s="259">
        <v>100</v>
      </c>
      <c r="G41" s="120">
        <f t="shared" si="0"/>
        <v>1205</v>
      </c>
      <c r="H41" s="307">
        <f>IF($M$3="metric",'Katalogdaten M3G045'!H41,'Katalogdaten M3G045'!H41*3.412)</f>
        <v>17437.977982417342</v>
      </c>
      <c r="I41" s="285">
        <f>IF($M$3="metric",'Katalogdaten M3G045'!I41,('Katalogdaten M3G045'!I41*1.8+32))</f>
        <v>58.820565916504869</v>
      </c>
      <c r="J41" s="283">
        <f>IF($M$3="metric",'Katalogdaten M3G045'!J41,'Katalogdaten M3G045'!J41*0.00440287)</f>
        <v>1499.2410438882273</v>
      </c>
      <c r="K41" s="267">
        <f>IF($M$3="metric",'Katalogdaten M3G045'!K41,'Katalogdaten M3G045'!K41*0.335)</f>
        <v>89.214802020963845</v>
      </c>
      <c r="L41" s="293">
        <f>IF($M$3="metric",'Katalogdaten M3G045'!L41,'Katalogdaten M3G045'!L41*3.412)</f>
        <v>9915.3979163360254</v>
      </c>
      <c r="M41" s="285">
        <f>IF($M$3="metric",'Katalogdaten M3G045'!M41,('Katalogdaten M3G045'!M41*1.8+32))</f>
        <v>43.70822275237208</v>
      </c>
      <c r="N41" s="283">
        <f>IF($M$3="metric",'Katalogdaten M3G045'!N41,'Katalogdaten M3G045'!N41*0.00440287)</f>
        <v>852.48252622200141</v>
      </c>
      <c r="O41" s="267">
        <f>IF($M$3="metric",'Katalogdaten M3G045'!O41,'Katalogdaten M3G045'!O41*0.335)</f>
        <v>134.55283952907033</v>
      </c>
      <c r="P41" s="324">
        <f>IF($M$3="metric",'Katalogdaten M3G045'!K41*0.277778,'Katalogdaten M3G045'!K41*0.5886)</f>
        <v>24.781909275779299</v>
      </c>
      <c r="Q41" s="267" t="e">
        <f t="shared" si="26"/>
        <v>#REF!</v>
      </c>
      <c r="R41" s="267" t="e">
        <f>IF(ISNUMBER(VLOOKUP(#REF!,$AX$41:$BB$45,5,0)),VLOOKUP(#REF!,$AX$41:$BB$45,5,0),#REF!^2*AK41+#REF!*AL41+AM41)</f>
        <v>#REF!</v>
      </c>
      <c r="S41" s="269" t="e">
        <f>IF(ISNUMBER(VLOOKUP(#REF!,$AX$41:$BC$45,6,0)),VLOOKUP(#REF!,$AX$41:$BC$45,6,0),#REF!^2*AN41+#REF!*#REF!+#REF!)</f>
        <v>#REF!</v>
      </c>
      <c r="T41" s="275" t="e">
        <f>IF(ISNUMBER(VLOOKUP(#REF!,$AX$41:$BD$45,7,0)),VLOOKUP(#REF!,$AX$41:$BD$45,7,0),#REF!^2*#REF!+#REF!*#REF!+#REF!)</f>
        <v>#REF!</v>
      </c>
      <c r="U41" s="257"/>
      <c r="V41" s="257"/>
      <c r="W41" s="409">
        <f>IF($M$3="metric",3000,118.1)</f>
        <v>3000</v>
      </c>
      <c r="X41" s="259">
        <f t="shared" si="4"/>
        <v>100</v>
      </c>
      <c r="Y41" s="307">
        <f>IF($M$3="metric",'Katalogdaten M3G045'!T41,'Katalogdaten M3G045'!T41*3.412)</f>
        <v>3338.0847217126325</v>
      </c>
      <c r="Z41" s="307">
        <f>IF($M$3="metric",'Katalogdaten M3G045'!U41,'Katalogdaten M3G045'!U41*3.412)</f>
        <v>3338.0847217126325</v>
      </c>
      <c r="AA41" s="285">
        <f>IF($M$3="metric",'Katalogdaten M3G045'!V41,('Katalogdaten M3G045'!V41*1.8+32))</f>
        <v>19.805457911110167</v>
      </c>
      <c r="AB41" s="283">
        <f>IF($M$3="metric",'Katalogdaten M3G045'!W41,'Katalogdaten M3G045'!W41*0.00440287)</f>
        <v>1434.9695898841901</v>
      </c>
      <c r="AC41" s="267">
        <f>IF($M$3="metric",'Katalogdaten M3G045'!X41,'Katalogdaten M3G045'!X41*0.335)</f>
        <v>82.457260897108597</v>
      </c>
      <c r="AD41" s="296">
        <f>IF($M$3="metric",'Katalogdaten M3G045'!Y41,'Katalogdaten M3G045'!Y41*0.00440287*60)</f>
        <v>0</v>
      </c>
      <c r="AE41" s="283">
        <f>'Katalogdaten M3G045'!Z41</f>
        <v>81.959778959266615</v>
      </c>
      <c r="AF41" s="285">
        <f>IF($M$3="metric",'Katalogdaten M3G045'!AA41,('Katalogdaten M3G045'!AA41*1.8+32))</f>
        <v>17.618824201426193</v>
      </c>
      <c r="AG41" s="293">
        <f>IF($M$3="metric",'Katalogdaten M3G045'!AB41,'Katalogdaten M3G045'!AB41*3.412)</f>
        <v>3104.5629195015636</v>
      </c>
      <c r="AH41" s="307">
        <f>IF($M$3="metric",'Katalogdaten M3G045'!AC41,'Katalogdaten M3G045'!AC41*3.412)</f>
        <v>3104.5629195015636</v>
      </c>
      <c r="AI41" s="285">
        <f>IF($M$3="metric",'Katalogdaten M3G045'!AD41,('Katalogdaten M3G045'!AD41*1.8+32))</f>
        <v>20.343743630492565</v>
      </c>
      <c r="AJ41" s="283">
        <f>IF($M$3="metric",'Katalogdaten M3G045'!AE41,'Katalogdaten M3G045'!AE41*0.00440287)</f>
        <v>1334.5836761989585</v>
      </c>
      <c r="AK41" s="267">
        <f>IF($M$3="metric",'Katalogdaten M3G045'!AF41,'Katalogdaten M3G045'!AF41*0.335)</f>
        <v>53.537274881183265</v>
      </c>
      <c r="AL41" s="296">
        <f>IF($M$3="metric",'Katalogdaten M3G045'!AG41,'Katalogdaten M3G045'!AG41*0.00440287*60)</f>
        <v>0</v>
      </c>
      <c r="AM41" s="283">
        <f>'Katalogdaten M3G045'!AH41</f>
        <v>79.141361327004532</v>
      </c>
      <c r="AN41" s="285">
        <f>IF($M$3="metric",'Katalogdaten M3G045'!AI41,('Katalogdaten M3G045'!AI41*1.8+32))</f>
        <v>17.790882963633855</v>
      </c>
      <c r="AQ41" s="110"/>
      <c r="AU41" s="109">
        <f>3*730</f>
        <v>2190</v>
      </c>
      <c r="AV41">
        <v>2520</v>
      </c>
      <c r="AW41">
        <f t="shared" ref="AW41" si="32">(AV41-AU41)/AU41</f>
        <v>0.15068493150684931</v>
      </c>
      <c r="AX41">
        <v>100</v>
      </c>
      <c r="AY41">
        <f t="shared" si="5"/>
        <v>10000</v>
      </c>
      <c r="AZ41" s="216">
        <v>1295</v>
      </c>
      <c r="BA41" s="198">
        <v>46.966788154032749</v>
      </c>
      <c r="BB41" s="199">
        <v>54.966788154032749</v>
      </c>
      <c r="BC41" s="200">
        <v>60</v>
      </c>
      <c r="BD41" s="205">
        <v>534</v>
      </c>
      <c r="BE41">
        <f t="array" ref="BE41:BG41">LINEST(BB41:BB45,AX41:AY45)</f>
        <v>1.0455861161341273E-3</v>
      </c>
      <c r="BF41">
        <v>0.24822337676301398</v>
      </c>
      <c r="BG41">
        <v>20.49292377881104</v>
      </c>
      <c r="BH41">
        <f t="array" ref="BH41:BJ41">LINEST(BC41:BC45,AX41:AY45)</f>
        <v>1.0446428571428568E-2</v>
      </c>
      <c r="BI41">
        <v>-0.64307142857142818</v>
      </c>
      <c r="BJ41">
        <v>19.079999999999991</v>
      </c>
      <c r="BK41">
        <f t="array" ref="BK41:BM41">LINEST(BD41:BD45,AX41:AY45)</f>
        <v>8.8928571428571399E-2</v>
      </c>
      <c r="BL41">
        <v>-5.7214285714285698</v>
      </c>
      <c r="BM41">
        <v>211.2</v>
      </c>
      <c r="BO41" s="249">
        <f t="shared" si="9"/>
        <v>1.2503647585511141E-2</v>
      </c>
      <c r="BP41" s="250" t="e">
        <f>BO41*#REF!</f>
        <v>#REF!</v>
      </c>
      <c r="BQ41" s="250" t="e">
        <f t="shared" si="1"/>
        <v>#REF!</v>
      </c>
      <c r="BR41" s="249" t="e">
        <f>BQ41/#REF!</f>
        <v>#REF!</v>
      </c>
      <c r="BS41" s="251" t="e">
        <f t="shared" si="2"/>
        <v>#REF!</v>
      </c>
      <c r="BT41" s="101" t="e">
        <f t="shared" si="3"/>
        <v>#REF!</v>
      </c>
    </row>
    <row r="42" spans="2:72" hidden="1" x14ac:dyDescent="0.3">
      <c r="B42" s="117">
        <f>IF(ISNUMBER(VLOOKUP($E$41,$AU$16:$AV$41,2,0)),VLOOKUP($E$41,$AU$16:$AV$41,2,0),$E$41*(1+$AW$14))*C42</f>
        <v>2923.2</v>
      </c>
      <c r="C42" s="253">
        <v>1.1599999999999999</v>
      </c>
      <c r="D42" s="410"/>
      <c r="E42" s="412"/>
      <c r="F42" s="259">
        <v>80</v>
      </c>
      <c r="G42" s="120">
        <f t="shared" si="0"/>
        <v>985</v>
      </c>
      <c r="H42" s="305">
        <f>IF($M$3="metric",'Katalogdaten M3G045'!H42,'Katalogdaten M3G045'!H42*3.412)</f>
        <v>14066.184922763878</v>
      </c>
      <c r="I42" s="287">
        <f>IF($M$3="metric",'Katalogdaten M3G045'!I42,('Katalogdaten M3G045'!I42*1.8+32))</f>
        <v>60.168878333891378</v>
      </c>
      <c r="J42" s="286">
        <f>IF($M$3="metric",'Katalogdaten M3G045'!J42,'Katalogdaten M3G045'!J42*0.00440287)</f>
        <v>1209.3490305121918</v>
      </c>
      <c r="K42" s="265">
        <f>IF($M$3="metric",'Katalogdaten M3G045'!K42,'Katalogdaten M3G045'!K42*0.335)</f>
        <v>60.628372097483698</v>
      </c>
      <c r="L42" s="289">
        <f>IF($M$3="metric",'Katalogdaten M3G045'!L42,'Katalogdaten M3G045'!L42*3.412)</f>
        <v>8488.9657733863623</v>
      </c>
      <c r="M42" s="287">
        <f>IF($M$3="metric",'Katalogdaten M3G045'!M42,('Katalogdaten M3G045'!M42*1.8+32))</f>
        <v>45.28457669104278</v>
      </c>
      <c r="N42" s="286">
        <f>IF($M$3="metric",'Katalogdaten M3G045'!N42,'Katalogdaten M3G045'!N42*0.00440287)</f>
        <v>729.84413218412146</v>
      </c>
      <c r="O42" s="265">
        <f>IF($M$3="metric",'Katalogdaten M3G045'!O42,'Katalogdaten M3G045'!O42*0.335)</f>
        <v>102.41900124118109</v>
      </c>
      <c r="P42" s="323">
        <f>IF($M$3="metric",'Katalogdaten M3G045'!K42*0.277778,'Katalogdaten M3G045'!K42*0.5886)</f>
        <v>16.841227944494829</v>
      </c>
      <c r="Q42" s="265" t="e">
        <f t="shared" si="26"/>
        <v>#REF!</v>
      </c>
      <c r="R42" s="265" t="e">
        <f>IF(ISNUMBER(VLOOKUP(#REF!,$AX$41:$BB$45,5,0)),VLOOKUP(#REF!,$AX$41:$BB$45,5,0),#REF!^2*AK42+#REF!*AL42+AM42)</f>
        <v>#REF!</v>
      </c>
      <c r="S42" s="270" t="e">
        <f>IF(ISNUMBER(VLOOKUP(#REF!,$AX$41:$BC$45,6,0)),VLOOKUP(#REF!,$AX$41:$BC$45,6,0),#REF!^2*AN42+#REF!*#REF!+#REF!)</f>
        <v>#REF!</v>
      </c>
      <c r="T42" s="276" t="e">
        <f>IF(ISNUMBER(VLOOKUP(#REF!,$AX$41:$BD$45,7,0)),VLOOKUP(#REF!,$AX$41:$BD$45,7,0),#REF!^2*#REF!+#REF!*#REF!+#REF!)</f>
        <v>#REF!</v>
      </c>
      <c r="U42" s="257"/>
      <c r="V42" s="257"/>
      <c r="W42" s="410"/>
      <c r="X42" s="259">
        <f t="shared" si="4"/>
        <v>80</v>
      </c>
      <c r="Y42" s="305">
        <f>IF($M$3="metric",'Katalogdaten M3G045'!T42,'Katalogdaten M3G045'!T42*3.412)</f>
        <v>2884.0144789635224</v>
      </c>
      <c r="Z42" s="305">
        <f>IF($M$3="metric",'Katalogdaten M3G045'!U42,'Katalogdaten M3G045'!U42*3.412)</f>
        <v>2884.0144789635224</v>
      </c>
      <c r="AA42" s="287">
        <f>IF($M$3="metric",'Katalogdaten M3G045'!V42,('Katalogdaten M3G045'!V42*1.8+32))</f>
        <v>19.141749082847348</v>
      </c>
      <c r="AB42" s="286">
        <f>IF($M$3="metric",'Katalogdaten M3G045'!W42,'Katalogdaten M3G045'!W42*0.00440287)</f>
        <v>1239.7747268604594</v>
      </c>
      <c r="AC42" s="265">
        <f>IF($M$3="metric",'Katalogdaten M3G045'!X42,'Katalogdaten M3G045'!X42*0.335)</f>
        <v>63.397933268253809</v>
      </c>
      <c r="AD42" s="294">
        <f>IF($M$3="metric",'Katalogdaten M3G045'!Y42,'Katalogdaten M3G045'!Y42*0.00440287*60)</f>
        <v>0</v>
      </c>
      <c r="AE42" s="281">
        <f>'Katalogdaten M3G045'!Z42</f>
        <v>85.581040457464582</v>
      </c>
      <c r="AF42" s="287">
        <f>IF($M$3="metric",'Katalogdaten M3G045'!AA42,('Katalogdaten M3G045'!AA42*1.8+32))</f>
        <v>17.411011865334931</v>
      </c>
      <c r="AG42" s="289">
        <f>IF($M$3="metric",'Katalogdaten M3G045'!AB42,'Katalogdaten M3G045'!AB42*3.412)</f>
        <v>2694.9153096554692</v>
      </c>
      <c r="AH42" s="305">
        <f>IF($M$3="metric",'Katalogdaten M3G045'!AC42,'Katalogdaten M3G045'!AC42*3.412)</f>
        <v>2694.9153096554692</v>
      </c>
      <c r="AI42" s="287">
        <f>IF($M$3="metric",'Katalogdaten M3G045'!AD42,('Katalogdaten M3G045'!AD42*1.8+32))</f>
        <v>19.689783191840402</v>
      </c>
      <c r="AJ42" s="286">
        <f>IF($M$3="metric",'Katalogdaten M3G045'!AE42,'Katalogdaten M3G045'!AE42*0.00440287)</f>
        <v>1158.4851311637397</v>
      </c>
      <c r="AK42" s="265">
        <f>IF($M$3="metric",'Katalogdaten M3G045'!AF42,'Katalogdaten M3G045'!AF42*0.335)</f>
        <v>41.55355417943229</v>
      </c>
      <c r="AL42" s="294">
        <f>IF($M$3="metric",'Katalogdaten M3G045'!AG42,'Katalogdaten M3G045'!AG42*0.00440287*60)</f>
        <v>0</v>
      </c>
      <c r="AM42" s="281">
        <f>'Katalogdaten M3G045'!AH42</f>
        <v>82.579116796362428</v>
      </c>
      <c r="AN42" s="287">
        <f>IF($M$3="metric",'Katalogdaten M3G045'!AI42,('Katalogdaten M3G045'!AI42*1.8+32))</f>
        <v>17.582262376583909</v>
      </c>
      <c r="AQ42" s="110"/>
      <c r="AX42">
        <v>80</v>
      </c>
      <c r="AY42">
        <f t="shared" si="5"/>
        <v>6400</v>
      </c>
      <c r="AZ42" s="214">
        <v>1030</v>
      </c>
      <c r="BA42" s="194">
        <v>40.557277472866254</v>
      </c>
      <c r="BB42" s="195">
        <v>48.557277472866254</v>
      </c>
      <c r="BC42" s="201">
        <v>33</v>
      </c>
      <c r="BD42" s="206">
        <v>312</v>
      </c>
      <c r="BE42">
        <f>BE41</f>
        <v>1.0455861161341273E-3</v>
      </c>
      <c r="BF42">
        <f t="shared" ref="BF42:BH45" si="33">BF41</f>
        <v>0.24822337676301398</v>
      </c>
      <c r="BG42">
        <f t="shared" si="33"/>
        <v>20.49292377881104</v>
      </c>
      <c r="BH42">
        <f>BH41</f>
        <v>1.0446428571428568E-2</v>
      </c>
      <c r="BI42">
        <f t="shared" ref="BI42:BK45" si="34">BI41</f>
        <v>-0.64307142857142818</v>
      </c>
      <c r="BJ42">
        <f t="shared" si="34"/>
        <v>19.079999999999991</v>
      </c>
      <c r="BK42">
        <f>BK41</f>
        <v>8.8928571428571399E-2</v>
      </c>
      <c r="BL42">
        <f t="shared" ref="BL42:BM45" si="35">BL41</f>
        <v>-5.7214285714285698</v>
      </c>
      <c r="BM42">
        <f t="shared" si="35"/>
        <v>211.2</v>
      </c>
      <c r="BO42" s="249">
        <f t="shared" si="9"/>
        <v>1.2503647585511141E-2</v>
      </c>
      <c r="BP42" s="250" t="e">
        <f>BO42*#REF!</f>
        <v>#REF!</v>
      </c>
      <c r="BQ42" s="250" t="e">
        <f t="shared" si="1"/>
        <v>#REF!</v>
      </c>
      <c r="BR42" s="249" t="e">
        <f>BQ42/#REF!</f>
        <v>#REF!</v>
      </c>
      <c r="BS42" s="251" t="e">
        <f t="shared" si="2"/>
        <v>#REF!</v>
      </c>
      <c r="BT42" s="101" t="e">
        <f t="shared" si="3"/>
        <v>#REF!</v>
      </c>
    </row>
    <row r="43" spans="2:72" hidden="1" x14ac:dyDescent="0.3">
      <c r="B43" s="117">
        <f>IF(ISNUMBER(VLOOKUP($E$41,$AU$16:$AV$41,2,0)),VLOOKUP($E$41,$AU$16:$AV$41,2,0),$E$41*(1+$AW$14))*C43</f>
        <v>3351.6000000000004</v>
      </c>
      <c r="C43" s="253">
        <v>1.33</v>
      </c>
      <c r="D43" s="410"/>
      <c r="E43" s="412"/>
      <c r="F43" s="259">
        <v>60</v>
      </c>
      <c r="G43" s="120">
        <f t="shared" si="0"/>
        <v>735</v>
      </c>
      <c r="H43" s="305">
        <f>IF($M$3="metric",'Katalogdaten M3G045'!H43,'Katalogdaten M3G045'!H43*3.412)</f>
        <v>10295.541874026036</v>
      </c>
      <c r="I43" s="287">
        <f>IF($M$3="metric",'Katalogdaten M3G045'!I43,('Katalogdaten M3G045'!I43*1.8+32))</f>
        <v>62.222318019785462</v>
      </c>
      <c r="J43" s="286">
        <f>IF($M$3="metric",'Katalogdaten M3G045'!J43,'Katalogdaten M3G045'!J43*0.00440287)</f>
        <v>885.165640315254</v>
      </c>
      <c r="K43" s="265">
        <f>IF($M$3="metric",'Katalogdaten M3G045'!K43,'Katalogdaten M3G045'!K43*0.335)</f>
        <v>34.597029808804493</v>
      </c>
      <c r="L43" s="289">
        <f>IF($M$3="metric",'Katalogdaten M3G045'!L43,'Katalogdaten M3G045'!L43*3.412)</f>
        <v>6774.7028183469902</v>
      </c>
      <c r="M43" s="287">
        <f>IF($M$3="metric",'Katalogdaten M3G045'!M43,('Katalogdaten M3G045'!M43*1.8+32))</f>
        <v>48.176294015516632</v>
      </c>
      <c r="N43" s="286">
        <f>IF($M$3="metric",'Katalogdaten M3G045'!N43,'Katalogdaten M3G045'!N43*0.00440287)</f>
        <v>582.45930437876689</v>
      </c>
      <c r="O43" s="265">
        <f>IF($M$3="metric",'Katalogdaten M3G045'!O43,'Katalogdaten M3G045'!O43*0.335)</f>
        <v>68.907524387960805</v>
      </c>
      <c r="P43" s="323">
        <f>IF($M$3="metric",'Katalogdaten M3G045'!K43*0.277778,'Katalogdaten M3G045'!K43*0.5886)</f>
        <v>9.610293746230095</v>
      </c>
      <c r="Q43" s="265" t="e">
        <f t="shared" si="26"/>
        <v>#REF!</v>
      </c>
      <c r="R43" s="265" t="e">
        <f>IF(ISNUMBER(VLOOKUP(#REF!,$AX$41:$BB$45,5,0)),VLOOKUP(#REF!,$AX$41:$BB$45,5,0),#REF!^2*AK43+#REF!*AL43+AM43)</f>
        <v>#REF!</v>
      </c>
      <c r="S43" s="270" t="e">
        <f>IF(ISNUMBER(VLOOKUP(#REF!,$AX$41:$BC$45,6,0)),VLOOKUP(#REF!,$AX$41:$BC$45,6,0),#REF!^2*AN43+#REF!*#REF!+#REF!)</f>
        <v>#REF!</v>
      </c>
      <c r="T43" s="276" t="e">
        <f>IF(ISNUMBER(VLOOKUP(#REF!,$AX$41:$BD$45,7,0)),VLOOKUP(#REF!,$AX$41:$BD$45,7,0),#REF!^2*#REF!+#REF!*#REF!+#REF!)</f>
        <v>#REF!</v>
      </c>
      <c r="U43" s="257"/>
      <c r="V43" s="257"/>
      <c r="W43" s="410"/>
      <c r="X43" s="259">
        <f t="shared" si="4"/>
        <v>60</v>
      </c>
      <c r="Y43" s="305">
        <f>IF($M$3="metric",'Katalogdaten M3G045'!T43,'Katalogdaten M3G045'!T43*3.412)</f>
        <v>2174.6138949593933</v>
      </c>
      <c r="Z43" s="305">
        <f>IF($M$3="metric",'Katalogdaten M3G045'!U43,'Katalogdaten M3G045'!U43*3.412)</f>
        <v>2174.6138949593933</v>
      </c>
      <c r="AA43" s="287">
        <f>IF($M$3="metric",'Katalogdaten M3G045'!V43,('Katalogdaten M3G045'!V43*1.8+32))</f>
        <v>18.546365846796117</v>
      </c>
      <c r="AB43" s="286">
        <f>IF($M$3="metric",'Katalogdaten M3G045'!W43,'Katalogdaten M3G045'!W43*0.00440287)</f>
        <v>934.81893635262213</v>
      </c>
      <c r="AC43" s="265">
        <f>IF($M$3="metric",'Katalogdaten M3G045'!X43,'Katalogdaten M3G045'!X43*0.335)</f>
        <v>38.163624637794278</v>
      </c>
      <c r="AD43" s="294">
        <f>IF($M$3="metric",'Katalogdaten M3G045'!Y43,'Katalogdaten M3G045'!Y43*0.00440287*60)</f>
        <v>0</v>
      </c>
      <c r="AE43" s="281">
        <f>'Katalogdaten M3G045'!Z43</f>
        <v>88.972886754459779</v>
      </c>
      <c r="AF43" s="287">
        <f>IF($M$3="metric",'Katalogdaten M3G045'!AA43,('Katalogdaten M3G045'!AA43*1.8+32))</f>
        <v>17.228615551556874</v>
      </c>
      <c r="AG43" s="289">
        <f>IF($M$3="metric",'Katalogdaten M3G045'!AB43,'Katalogdaten M3G045'!AB43*3.412)</f>
        <v>2045.9694845372876</v>
      </c>
      <c r="AH43" s="305">
        <f>IF($M$3="metric",'Katalogdaten M3G045'!AC43,'Katalogdaten M3G045'!AC43*3.412)</f>
        <v>2045.9694845372876</v>
      </c>
      <c r="AI43" s="287">
        <f>IF($M$3="metric",'Katalogdaten M3G045'!AD43,('Katalogdaten M3G045'!AD43*1.8+32))</f>
        <v>19.076039178436282</v>
      </c>
      <c r="AJ43" s="286">
        <f>IF($M$3="metric",'Katalogdaten M3G045'!AE43,'Katalogdaten M3G045'!AE43*0.00440287)</f>
        <v>879.51751884707971</v>
      </c>
      <c r="AK43" s="265">
        <f>IF($M$3="metric",'Katalogdaten M3G045'!AF43,'Katalogdaten M3G045'!AF43*0.335)</f>
        <v>25.372200702344685</v>
      </c>
      <c r="AL43" s="294">
        <f>IF($M$3="metric",'Katalogdaten M3G045'!AG43,'Katalogdaten M3G045'!AG43*0.00440287*60)</f>
        <v>0</v>
      </c>
      <c r="AM43" s="281">
        <f>'Katalogdaten M3G045'!AH43</f>
        <v>85.94861050060166</v>
      </c>
      <c r="AN43" s="287">
        <f>IF($M$3="metric",'Katalogdaten M3G045'!AI43,('Katalogdaten M3G045'!AI43*1.8+32))</f>
        <v>17.390695900129899</v>
      </c>
      <c r="AQ43" s="110"/>
      <c r="AX43">
        <v>60</v>
      </c>
      <c r="AY43">
        <f t="shared" si="5"/>
        <v>3600</v>
      </c>
      <c r="AZ43" s="214">
        <v>725</v>
      </c>
      <c r="BA43" s="194">
        <v>31.432245947933481</v>
      </c>
      <c r="BB43" s="195">
        <v>39.432245947933481</v>
      </c>
      <c r="BC43" s="201">
        <v>18</v>
      </c>
      <c r="BD43" s="206">
        <v>186</v>
      </c>
      <c r="BE43">
        <f t="shared" ref="BE43:BE45" si="36">BE42</f>
        <v>1.0455861161341273E-3</v>
      </c>
      <c r="BF43">
        <f t="shared" si="33"/>
        <v>0.24822337676301398</v>
      </c>
      <c r="BG43">
        <f t="shared" si="33"/>
        <v>20.49292377881104</v>
      </c>
      <c r="BH43">
        <f t="shared" si="33"/>
        <v>1.0446428571428568E-2</v>
      </c>
      <c r="BI43">
        <f t="shared" si="34"/>
        <v>-0.64307142857142818</v>
      </c>
      <c r="BJ43">
        <f t="shared" si="34"/>
        <v>19.079999999999991</v>
      </c>
      <c r="BK43">
        <f t="shared" si="34"/>
        <v>8.8928571428571399E-2</v>
      </c>
      <c r="BL43">
        <f t="shared" si="35"/>
        <v>-5.7214285714285698</v>
      </c>
      <c r="BM43">
        <f t="shared" si="35"/>
        <v>211.2</v>
      </c>
      <c r="BO43" s="249">
        <f t="shared" si="9"/>
        <v>1.2503647585511141E-2</v>
      </c>
      <c r="BP43" s="250" t="e">
        <f>BO43*#REF!</f>
        <v>#REF!</v>
      </c>
      <c r="BQ43" s="250" t="e">
        <f t="shared" si="1"/>
        <v>#REF!</v>
      </c>
      <c r="BR43" s="249" t="e">
        <f>BQ43/#REF!</f>
        <v>#REF!</v>
      </c>
      <c r="BS43" s="251" t="e">
        <f t="shared" si="2"/>
        <v>#REF!</v>
      </c>
      <c r="BT43" s="101" t="e">
        <f t="shared" si="3"/>
        <v>#REF!</v>
      </c>
    </row>
    <row r="44" spans="2:72" hidden="1" x14ac:dyDescent="0.3">
      <c r="B44" s="117">
        <f>IF(ISNUMBER(VLOOKUP($E$41,$AU$16:$AV$41,2,0)),VLOOKUP($E$41,$AU$16:$AV$41,2,0),$E$41*(1+$AW$14))*C44</f>
        <v>3754.8</v>
      </c>
      <c r="C44" s="253">
        <v>1.49</v>
      </c>
      <c r="D44" s="410"/>
      <c r="E44" s="412"/>
      <c r="F44" s="259">
        <v>40</v>
      </c>
      <c r="G44" s="120">
        <f t="shared" si="0"/>
        <v>495</v>
      </c>
      <c r="H44" s="305">
        <f>IF($M$3="metric",'Katalogdaten M3G045'!H44,'Katalogdaten M3G045'!H44*3.412)</f>
        <v>6755.452083789698</v>
      </c>
      <c r="I44" s="287">
        <f>IF($M$3="metric",'Katalogdaten M3G045'!I44,('Katalogdaten M3G045'!I44*1.8+32))</f>
        <v>65.153856957502356</v>
      </c>
      <c r="J44" s="286">
        <f>IF($M$3="metric",'Katalogdaten M3G045'!J44,'Katalogdaten M3G045'!J44*0.00440287)</f>
        <v>580.80421045661649</v>
      </c>
      <c r="K44" s="265">
        <f>IF($M$3="metric",'Katalogdaten M3G045'!K44,'Katalogdaten M3G045'!K44*0.335)</f>
        <v>16.220680843225395</v>
      </c>
      <c r="L44" s="289">
        <f>IF($M$3="metric",'Katalogdaten M3G045'!L44,'Katalogdaten M3G045'!L44*3.412)</f>
        <v>4995.9046251459758</v>
      </c>
      <c r="M44" s="287">
        <f>IF($M$3="metric",'Katalogdaten M3G045'!M44,('Katalogdaten M3G045'!M44*1.8+32))</f>
        <v>53.069344617796411</v>
      </c>
      <c r="N44" s="286">
        <f>IF($M$3="metric",'Katalogdaten M3G045'!N44,'Katalogdaten M3G045'!N44*0.00440287)</f>
        <v>429.52601918193062</v>
      </c>
      <c r="O44" s="265">
        <f>IF($M$3="metric",'Katalogdaten M3G045'!O44,'Katalogdaten M3G045'!O44*0.335)</f>
        <v>40.352528178816016</v>
      </c>
      <c r="P44" s="323">
        <f>IF($M$3="metric",'Katalogdaten M3G045'!K44*0.277778,'Katalogdaten M3G045'!K44*0.5886)</f>
        <v>4.5057482832694644</v>
      </c>
      <c r="Q44" s="265" t="e">
        <f t="shared" si="26"/>
        <v>#REF!</v>
      </c>
      <c r="R44" s="265" t="e">
        <f>IF(ISNUMBER(VLOOKUP(#REF!,$AX$41:$BB$45,5,0)),VLOOKUP(#REF!,$AX$41:$BB$45,5,0),#REF!^2*AK44+#REF!*AL44+AM44)</f>
        <v>#REF!</v>
      </c>
      <c r="S44" s="270" t="e">
        <f>IF(ISNUMBER(VLOOKUP(#REF!,$AX$41:$BC$45,6,0)),VLOOKUP(#REF!,$AX$41:$BC$45,6,0),#REF!^2*AN44+#REF!*#REF!+#REF!)</f>
        <v>#REF!</v>
      </c>
      <c r="T44" s="276" t="e">
        <f>IF(ISNUMBER(VLOOKUP(#REF!,$AX$41:$BD$45,7,0)),VLOOKUP(#REF!,$AX$41:$BD$45,7,0),#REF!^2*#REF!+#REF!*#REF!+#REF!)</f>
        <v>#REF!</v>
      </c>
      <c r="U44" s="257"/>
      <c r="V44" s="257"/>
      <c r="W44" s="410"/>
      <c r="X44" s="259">
        <f t="shared" si="4"/>
        <v>40</v>
      </c>
      <c r="Y44" s="305">
        <f>IF($M$3="metric",'Katalogdaten M3G045'!T44,'Katalogdaten M3G045'!T44*3.412)</f>
        <v>1378.8938650627754</v>
      </c>
      <c r="Z44" s="305">
        <f>IF($M$3="metric",'Katalogdaten M3G045'!U44,'Katalogdaten M3G045'!U44*3.412)</f>
        <v>1378.8938650627754</v>
      </c>
      <c r="AA44" s="287">
        <f>IF($M$3="metric",'Katalogdaten M3G045'!V44,('Katalogdaten M3G045'!V44*1.8+32))</f>
        <v>18.037698644276716</v>
      </c>
      <c r="AB44" s="286">
        <f>IF($M$3="metric",'Katalogdaten M3G045'!W44,'Katalogdaten M3G045'!W44*0.00440287)</f>
        <v>592.75630458767466</v>
      </c>
      <c r="AC44" s="265">
        <f>IF($M$3="metric",'Katalogdaten M3G045'!X44,'Katalogdaten M3G045'!X44*0.335)</f>
        <v>16.825667365333373</v>
      </c>
      <c r="AD44" s="294">
        <f>IF($M$3="metric",'Katalogdaten M3G045'!Y44,'Katalogdaten M3G045'!Y44*0.00440287*60)</f>
        <v>0</v>
      </c>
      <c r="AE44" s="281">
        <f>'Katalogdaten M3G045'!Z44</f>
        <v>91.982788234623868</v>
      </c>
      <c r="AF44" s="287">
        <f>IF($M$3="metric",'Katalogdaten M3G045'!AA44,('Katalogdaten M3G045'!AA44*1.8+32))</f>
        <v>17.075751116578459</v>
      </c>
      <c r="AG44" s="289">
        <f>IF($M$3="metric",'Katalogdaten M3G045'!AB44,'Katalogdaten M3G045'!AB44*3.412)</f>
        <v>1309.3541397464721</v>
      </c>
      <c r="AH44" s="305">
        <f>IF($M$3="metric",'Katalogdaten M3G045'!AC44,'Katalogdaten M3G045'!AC44*3.412)</f>
        <v>1309.3541397464721</v>
      </c>
      <c r="AI44" s="287">
        <f>IF($M$3="metric",'Katalogdaten M3G045'!AD44,('Katalogdaten M3G045'!AD44*1.8+32))</f>
        <v>18.514896965198339</v>
      </c>
      <c r="AJ44" s="286">
        <f>IF($M$3="metric",'Katalogdaten M3G045'!AE44,'Katalogdaten M3G045'!AE44*0.00440287)</f>
        <v>562.86269809269095</v>
      </c>
      <c r="AK44" s="265">
        <f>IF($M$3="metric",'Katalogdaten M3G045'!AF44,'Katalogdaten M3G045'!AF44*0.335)</f>
        <v>11.408938041946895</v>
      </c>
      <c r="AL44" s="294">
        <f>IF($M$3="metric",'Katalogdaten M3G045'!AG44,'Katalogdaten M3G045'!AG44*0.00440287*60)</f>
        <v>0</v>
      </c>
      <c r="AM44" s="281">
        <f>'Katalogdaten M3G045'!AH44</f>
        <v>89.156053453116286</v>
      </c>
      <c r="AN44" s="287">
        <f>IF($M$3="metric",'Katalogdaten M3G045'!AI44,('Katalogdaten M3G045'!AI44*1.8+32))</f>
        <v>17.219079715548474</v>
      </c>
      <c r="AQ44" s="110"/>
      <c r="AX44">
        <v>40</v>
      </c>
      <c r="AY44">
        <f t="shared" si="5"/>
        <v>1600</v>
      </c>
      <c r="AZ44" s="214">
        <v>435</v>
      </c>
      <c r="BA44" s="194">
        <v>22.204318165045532</v>
      </c>
      <c r="BB44" s="195">
        <v>30.204318165045532</v>
      </c>
      <c r="BC44" s="201">
        <v>11.7</v>
      </c>
      <c r="BD44" s="206">
        <v>138</v>
      </c>
      <c r="BE44">
        <f t="shared" si="36"/>
        <v>1.0455861161341273E-3</v>
      </c>
      <c r="BF44">
        <f t="shared" si="33"/>
        <v>0.24822337676301398</v>
      </c>
      <c r="BG44">
        <f t="shared" si="33"/>
        <v>20.49292377881104</v>
      </c>
      <c r="BH44">
        <f t="shared" si="33"/>
        <v>1.0446428571428568E-2</v>
      </c>
      <c r="BI44">
        <f t="shared" si="34"/>
        <v>-0.64307142857142818</v>
      </c>
      <c r="BJ44">
        <f t="shared" si="34"/>
        <v>19.079999999999991</v>
      </c>
      <c r="BK44">
        <f t="shared" si="34"/>
        <v>8.8928571428571399E-2</v>
      </c>
      <c r="BL44">
        <f t="shared" si="35"/>
        <v>-5.7214285714285698</v>
      </c>
      <c r="BM44">
        <f t="shared" si="35"/>
        <v>211.2</v>
      </c>
      <c r="BO44" s="249">
        <f t="shared" si="9"/>
        <v>1.2503647585511141E-2</v>
      </c>
      <c r="BP44" s="250" t="e">
        <f>BO44*#REF!</f>
        <v>#REF!</v>
      </c>
      <c r="BQ44" s="250" t="e">
        <f t="shared" si="1"/>
        <v>#REF!</v>
      </c>
      <c r="BR44" s="249" t="e">
        <f>BQ44/#REF!</f>
        <v>#REF!</v>
      </c>
      <c r="BS44" s="251" t="e">
        <f t="shared" si="2"/>
        <v>#REF!</v>
      </c>
      <c r="BT44" s="101" t="e">
        <f t="shared" si="3"/>
        <v>#REF!</v>
      </c>
    </row>
    <row r="45" spans="2:72" hidden="1" x14ac:dyDescent="0.3">
      <c r="B45" s="117">
        <f>IF(ISNUMBER(VLOOKUP($E$41,$AU$16:$AV$41,2,0)),VLOOKUP($E$41,$AU$16:$AV$41,2,0),$E$41*(1+$AW$14))*C45</f>
        <v>4183.2</v>
      </c>
      <c r="C45" s="253">
        <v>1.66</v>
      </c>
      <c r="D45" s="410"/>
      <c r="E45" s="412"/>
      <c r="F45" s="259">
        <v>20</v>
      </c>
      <c r="G45" s="120">
        <f t="shared" si="0"/>
        <v>315</v>
      </c>
      <c r="H45" s="305">
        <f>IF($M$3="metric",'Katalogdaten M3G045'!H45,'Katalogdaten M3G045'!H45*3.412)</f>
        <v>4172.77847743041</v>
      </c>
      <c r="I45" s="287">
        <f>IF($M$3="metric",'Katalogdaten M3G045'!I45,('Katalogdaten M3G045'!I45*1.8+32))</f>
        <v>68.715226808198622</v>
      </c>
      <c r="J45" s="286">
        <f>IF($M$3="metric",'Katalogdaten M3G045'!J45,'Katalogdaten M3G045'!J45*0.00440287)</f>
        <v>358.75723473931441</v>
      </c>
      <c r="K45" s="265">
        <f>IF($M$3="metric",'Katalogdaten M3G045'!K45,'Katalogdaten M3G045'!K45*0.335)</f>
        <v>6.8224120758257643</v>
      </c>
      <c r="L45" s="289">
        <f>IF($M$3="metric",'Katalogdaten M3G045'!L45,'Katalogdaten M3G045'!L45*3.412)</f>
        <v>3526.7510742136483</v>
      </c>
      <c r="M45" s="287">
        <f>IF($M$3="metric",'Katalogdaten M3G045'!M45,('Katalogdaten M3G045'!M45*1.8+32))</f>
        <v>60.028433997538727</v>
      </c>
      <c r="N45" s="286">
        <f>IF($M$3="metric",'Katalogdaten M3G045'!N45,'Katalogdaten M3G045'!N45*0.00440287)</f>
        <v>303.21462542098146</v>
      </c>
      <c r="O45" s="265">
        <f>IF($M$3="metric",'Katalogdaten M3G045'!O45,'Katalogdaten M3G045'!O45*0.335)</f>
        <v>21.885595487741178</v>
      </c>
      <c r="P45" s="323">
        <f>IF($M$3="metric",'Katalogdaten M3G045'!K45*0.277778,'Katalogdaten M3G045'!K45*0.5886)</f>
        <v>1.8951159815987293</v>
      </c>
      <c r="Q45" s="268" t="e">
        <f t="shared" si="26"/>
        <v>#REF!</v>
      </c>
      <c r="R45" s="268" t="e">
        <f>IF(ISNUMBER(VLOOKUP(#REF!,$AX$41:$BB$45,5,0)),VLOOKUP(#REF!,$AX$41:$BB$45,5,0),#REF!^2*AK45+#REF!*AL45+AM45)</f>
        <v>#REF!</v>
      </c>
      <c r="S45" s="274" t="e">
        <f>IF(ISNUMBER(VLOOKUP(#REF!,$AX$41:$BC$45,6,0)),VLOOKUP(#REF!,$AX$41:$BC$45,6,0),#REF!^2*AN45+#REF!*#REF!+#REF!)</f>
        <v>#REF!</v>
      </c>
      <c r="T45" s="280" t="e">
        <f>IF(ISNUMBER(VLOOKUP(#REF!,$AX$41:$BD$45,7,0)),VLOOKUP(#REF!,$AX$41:$BD$45,7,0),#REF!^2*#REF!+#REF!*#REF!+#REF!)</f>
        <v>#REF!</v>
      </c>
      <c r="U45" s="257"/>
      <c r="V45" s="257"/>
      <c r="W45" s="410"/>
      <c r="X45" s="259">
        <f t="shared" si="4"/>
        <v>20</v>
      </c>
      <c r="Y45" s="305">
        <f>IF($M$3="metric",'Katalogdaten M3G045'!T45,'Katalogdaten M3G045'!T45*3.412)</f>
        <v>773.64795571209106</v>
      </c>
      <c r="Z45" s="305">
        <f>IF($M$3="metric",'Katalogdaten M3G045'!U45,'Katalogdaten M3G045'!U45*3.412)</f>
        <v>773.64795571209106</v>
      </c>
      <c r="AA45" s="287">
        <f>IF($M$3="metric",'Katalogdaten M3G045'!V45,('Katalogdaten M3G045'!V45*1.8+32))</f>
        <v>16.758619150127164</v>
      </c>
      <c r="AB45" s="286">
        <f>IF($M$3="metric",'Katalogdaten M3G045'!W45,'Katalogdaten M3G045'!W45*0.00440287)</f>
        <v>332.57432997486768</v>
      </c>
      <c r="AC45" s="265">
        <f>IF($M$3="metric",'Katalogdaten M3G045'!X45,'Katalogdaten M3G045'!X45*0.335)</f>
        <v>5.9534971126771845</v>
      </c>
      <c r="AD45" s="294">
        <f>IF($M$3="metric",'Katalogdaten M3G045'!Y45,'Katalogdaten M3G045'!Y45*0.00440287*60)</f>
        <v>0</v>
      </c>
      <c r="AE45" s="281">
        <f>'Katalogdaten M3G045'!Z45</f>
        <v>100.03480841679634</v>
      </c>
      <c r="AF45" s="287">
        <f>IF($M$3="metric",'Katalogdaten M3G045'!AA45,('Katalogdaten M3G045'!AA45*1.8+32))</f>
        <v>16.703112203851894</v>
      </c>
      <c r="AG45" s="289">
        <f>IF($M$3="metric",'Katalogdaten M3G045'!AB45,'Katalogdaten M3G045'!AB45*3.412)</f>
        <v>742.42696557250622</v>
      </c>
      <c r="AH45" s="305">
        <f>IF($M$3="metric",'Katalogdaten M3G045'!AC45,'Katalogdaten M3G045'!AC45*3.412)</f>
        <v>742.42696557250622</v>
      </c>
      <c r="AI45" s="287">
        <f>IF($M$3="metric",'Katalogdaten M3G045'!AD45,('Katalogdaten M3G045'!AD45*1.8+32))</f>
        <v>17.192093501249481</v>
      </c>
      <c r="AJ45" s="286">
        <f>IF($M$3="metric",'Katalogdaten M3G045'!AE45,'Katalogdaten M3G045'!AE45*0.00440287)</f>
        <v>319.1531093794261</v>
      </c>
      <c r="AK45" s="265">
        <f>IF($M$3="metric",'Katalogdaten M3G045'!AF45,'Katalogdaten M3G045'!AF45*0.335)</f>
        <v>4.1305765426097132</v>
      </c>
      <c r="AL45" s="294">
        <f>IF($M$3="metric",'Katalogdaten M3G045'!AG45,'Katalogdaten M3G045'!AG45*0.00440287*60)</f>
        <v>0</v>
      </c>
      <c r="AM45" s="281">
        <f>'Katalogdaten M3G045'!AH45</f>
        <v>97.22596425893164</v>
      </c>
      <c r="AN45" s="287">
        <f>IF($M$3="metric",'Katalogdaten M3G045'!AI45,('Katalogdaten M3G045'!AI45*1.8+32))</f>
        <v>16.827548702255001</v>
      </c>
      <c r="AQ45" s="110"/>
      <c r="AX45">
        <v>20</v>
      </c>
      <c r="AY45">
        <f t="shared" si="5"/>
        <v>400</v>
      </c>
      <c r="AZ45" s="217">
        <v>215</v>
      </c>
      <c r="BA45" s="210">
        <v>18.773896738032178</v>
      </c>
      <c r="BB45" s="211">
        <v>26.773896738032178</v>
      </c>
      <c r="BC45" s="212">
        <v>9.6</v>
      </c>
      <c r="BD45" s="213">
        <v>126</v>
      </c>
      <c r="BE45">
        <f t="shared" si="36"/>
        <v>1.0455861161341273E-3</v>
      </c>
      <c r="BF45">
        <f t="shared" si="33"/>
        <v>0.24822337676301398</v>
      </c>
      <c r="BG45">
        <f t="shared" si="33"/>
        <v>20.49292377881104</v>
      </c>
      <c r="BH45">
        <f t="shared" si="33"/>
        <v>1.0446428571428568E-2</v>
      </c>
      <c r="BI45">
        <f t="shared" si="34"/>
        <v>-0.64307142857142818</v>
      </c>
      <c r="BJ45">
        <f t="shared" si="34"/>
        <v>19.079999999999991</v>
      </c>
      <c r="BK45">
        <f t="shared" si="34"/>
        <v>8.8928571428571399E-2</v>
      </c>
      <c r="BL45">
        <f t="shared" si="35"/>
        <v>-5.7214285714285698</v>
      </c>
      <c r="BM45">
        <f t="shared" si="35"/>
        <v>211.2</v>
      </c>
      <c r="BO45" s="249">
        <f t="shared" si="9"/>
        <v>1.2503647585511141E-2</v>
      </c>
      <c r="BP45" s="250" t="e">
        <f>BO45*#REF!</f>
        <v>#REF!</v>
      </c>
      <c r="BQ45" s="250" t="e">
        <f t="shared" si="1"/>
        <v>#REF!</v>
      </c>
      <c r="BR45" s="249" t="e">
        <f>BQ45/#REF!</f>
        <v>#REF!</v>
      </c>
      <c r="BS45" s="251" t="e">
        <f t="shared" si="2"/>
        <v>#REF!</v>
      </c>
      <c r="BT45" s="101" t="e">
        <f t="shared" si="3"/>
        <v>#REF!</v>
      </c>
    </row>
    <row r="46" spans="2:72" x14ac:dyDescent="0.3">
      <c r="P46" s="107"/>
      <c r="T46" s="109" t="s">
        <v>251</v>
      </c>
      <c r="AN46" s="109" t="str">
        <f>T46</f>
        <v>V 1.04</v>
      </c>
    </row>
    <row r="47" spans="2:72" hidden="1" x14ac:dyDescent="0.3">
      <c r="D47" s="128"/>
      <c r="E47" s="128"/>
      <c r="F47" s="123"/>
      <c r="G47" s="109"/>
      <c r="H47" s="109"/>
    </row>
    <row r="48" spans="2:72" hidden="1" x14ac:dyDescent="0.3">
      <c r="D48" s="129"/>
      <c r="E48" s="129"/>
      <c r="F48" s="124"/>
      <c r="G48" s="109"/>
      <c r="H48" s="109"/>
    </row>
    <row r="49" spans="4:11" hidden="1" x14ac:dyDescent="0.3">
      <c r="D49" s="129"/>
      <c r="E49" s="129"/>
      <c r="F49" s="124"/>
      <c r="G49" s="109"/>
      <c r="H49" s="109"/>
    </row>
    <row r="50" spans="4:11" hidden="1" x14ac:dyDescent="0.3">
      <c r="D50" s="129"/>
      <c r="E50" s="129"/>
      <c r="F50" s="124"/>
      <c r="G50" s="109"/>
      <c r="H50" s="109"/>
    </row>
    <row r="51" spans="4:11" hidden="1" x14ac:dyDescent="0.3">
      <c r="D51" s="129"/>
      <c r="E51" s="129"/>
      <c r="F51" s="124"/>
      <c r="G51" s="109"/>
      <c r="H51" s="109"/>
      <c r="I51" s="121"/>
      <c r="J51" s="122"/>
      <c r="K51" s="122"/>
    </row>
    <row r="52" spans="4:11" hidden="1" x14ac:dyDescent="0.3">
      <c r="D52" s="129"/>
      <c r="E52" s="129"/>
      <c r="F52" s="124"/>
      <c r="G52" s="109"/>
      <c r="H52" s="109"/>
      <c r="I52" s="121"/>
      <c r="J52" s="122"/>
      <c r="K52" s="122"/>
    </row>
    <row r="53" spans="4:11" hidden="1" x14ac:dyDescent="0.3">
      <c r="D53" s="129"/>
      <c r="E53" s="129"/>
      <c r="F53" s="124"/>
      <c r="G53" s="109"/>
      <c r="H53" s="109"/>
    </row>
    <row r="54" spans="4:11" hidden="1" x14ac:dyDescent="0.3">
      <c r="D54" s="129"/>
      <c r="E54" s="129"/>
      <c r="F54" s="124"/>
      <c r="G54" s="109"/>
      <c r="H54" s="109"/>
    </row>
    <row r="55" spans="4:11" hidden="1" x14ac:dyDescent="0.3">
      <c r="D55" s="129"/>
      <c r="E55" s="129"/>
      <c r="F55" s="124"/>
      <c r="G55" s="109"/>
      <c r="H55" s="109"/>
    </row>
    <row r="56" spans="4:11" hidden="1" x14ac:dyDescent="0.3">
      <c r="D56" s="129"/>
      <c r="E56" s="129"/>
      <c r="F56" s="124"/>
      <c r="G56" s="109"/>
      <c r="H56" s="109"/>
    </row>
    <row r="57" spans="4:11" hidden="1" x14ac:dyDescent="0.3">
      <c r="D57" s="129"/>
      <c r="E57" s="129"/>
      <c r="F57" s="124"/>
      <c r="G57" s="109"/>
      <c r="H57" s="109"/>
    </row>
    <row r="58" spans="4:11" hidden="1" x14ac:dyDescent="0.3">
      <c r="D58" s="129"/>
      <c r="E58" s="129"/>
      <c r="F58" s="124"/>
      <c r="G58" s="109"/>
      <c r="H58" s="109"/>
    </row>
    <row r="59" spans="4:11" hidden="1" x14ac:dyDescent="0.3">
      <c r="D59" s="129"/>
      <c r="E59" s="129"/>
      <c r="F59" s="124"/>
      <c r="G59" s="109"/>
      <c r="H59" s="109"/>
    </row>
    <row r="60" spans="4:11" hidden="1" x14ac:dyDescent="0.3">
      <c r="D60" s="129"/>
      <c r="E60" s="129"/>
      <c r="F60" s="124"/>
      <c r="G60" s="109"/>
      <c r="H60" s="109"/>
    </row>
    <row r="61" spans="4:11" hidden="1" x14ac:dyDescent="0.3">
      <c r="D61" s="129"/>
      <c r="E61" s="129"/>
      <c r="F61" s="124"/>
      <c r="G61" s="109"/>
      <c r="H61" s="109"/>
    </row>
    <row r="62" spans="4:11" hidden="1" x14ac:dyDescent="0.3">
      <c r="D62" s="129"/>
      <c r="E62" s="129"/>
      <c r="F62" s="124"/>
      <c r="G62" s="109"/>
      <c r="H62" s="109"/>
    </row>
    <row r="63" spans="4:11" hidden="1" x14ac:dyDescent="0.3">
      <c r="D63" s="129"/>
      <c r="E63" s="129"/>
      <c r="F63" s="124"/>
      <c r="G63" s="109"/>
      <c r="H63" s="109"/>
    </row>
    <row r="64" spans="4:11" hidden="1" x14ac:dyDescent="0.3">
      <c r="D64" s="129"/>
      <c r="E64" s="129"/>
      <c r="F64" s="124"/>
      <c r="G64" s="109"/>
      <c r="H64" s="109"/>
    </row>
    <row r="65" spans="4:8" hidden="1" x14ac:dyDescent="0.3">
      <c r="D65" s="129"/>
      <c r="E65" s="129"/>
      <c r="F65" s="124"/>
      <c r="G65" s="109"/>
      <c r="H65" s="109"/>
    </row>
    <row r="66" spans="4:8" hidden="1" x14ac:dyDescent="0.3">
      <c r="D66" s="129"/>
      <c r="E66" s="129"/>
      <c r="F66" s="124"/>
      <c r="G66" s="109"/>
      <c r="H66" s="109"/>
    </row>
    <row r="67" spans="4:8" hidden="1" x14ac:dyDescent="0.3">
      <c r="D67" s="129"/>
      <c r="E67" s="129"/>
      <c r="F67" s="124"/>
      <c r="G67" s="109"/>
      <c r="H67" s="109"/>
    </row>
    <row r="68" spans="4:8" hidden="1" x14ac:dyDescent="0.3">
      <c r="D68" s="129"/>
      <c r="E68" s="129"/>
      <c r="F68" s="124"/>
      <c r="G68" s="109"/>
      <c r="H68" s="109"/>
    </row>
    <row r="69" spans="4:8" hidden="1" x14ac:dyDescent="0.3">
      <c r="D69" s="129"/>
      <c r="E69" s="129"/>
      <c r="F69" s="124"/>
      <c r="G69" s="109"/>
      <c r="H69" s="109"/>
    </row>
    <row r="70" spans="4:8" hidden="1" x14ac:dyDescent="0.3">
      <c r="D70" s="129"/>
      <c r="E70" s="129"/>
      <c r="F70" s="124"/>
      <c r="G70" s="109"/>
      <c r="H70" s="109"/>
    </row>
    <row r="71" spans="4:8" hidden="1" x14ac:dyDescent="0.3">
      <c r="D71" s="129"/>
      <c r="E71" s="129"/>
      <c r="F71" s="124"/>
      <c r="G71" s="109"/>
      <c r="H71" s="109"/>
    </row>
    <row r="72" spans="4:8" hidden="1" x14ac:dyDescent="0.3">
      <c r="D72" s="129"/>
      <c r="E72" s="129"/>
      <c r="F72" s="124"/>
      <c r="G72" s="109"/>
      <c r="H72" s="109"/>
    </row>
    <row r="73" spans="4:8" hidden="1" x14ac:dyDescent="0.3">
      <c r="D73" s="129"/>
      <c r="E73" s="129"/>
      <c r="F73" s="124"/>
      <c r="G73" s="109"/>
      <c r="H73" s="109"/>
    </row>
    <row r="74" spans="4:8" hidden="1" x14ac:dyDescent="0.3">
      <c r="D74" s="129"/>
      <c r="E74" s="129"/>
      <c r="F74" s="124"/>
      <c r="G74" s="109"/>
      <c r="H74" s="109"/>
    </row>
    <row r="75" spans="4:8" hidden="1" x14ac:dyDescent="0.3">
      <c r="D75" s="129"/>
      <c r="E75" s="129"/>
      <c r="F75" s="124"/>
      <c r="G75" s="109"/>
      <c r="H75" s="109"/>
    </row>
    <row r="76" spans="4:8" hidden="1" x14ac:dyDescent="0.3">
      <c r="D76" s="129"/>
      <c r="E76" s="129"/>
      <c r="F76" s="124"/>
      <c r="G76" s="109"/>
      <c r="H76" s="109"/>
    </row>
    <row r="77" spans="4:8" hidden="1" x14ac:dyDescent="0.3">
      <c r="D77" s="129"/>
      <c r="E77" s="129"/>
      <c r="F77" s="124"/>
      <c r="G77" s="109"/>
      <c r="H77" s="109"/>
    </row>
    <row r="78" spans="4:8" hidden="1" x14ac:dyDescent="0.3">
      <c r="D78" s="113"/>
      <c r="E78" s="113"/>
      <c r="F78" s="109"/>
      <c r="G78" s="109"/>
      <c r="H78" s="109"/>
    </row>
    <row r="79" spans="4:8" hidden="1" x14ac:dyDescent="0.3">
      <c r="D79" s="113"/>
      <c r="E79" s="113"/>
      <c r="F79" s="109"/>
      <c r="G79" s="109"/>
      <c r="H79" s="109"/>
    </row>
    <row r="80" spans="4:8" hidden="1" x14ac:dyDescent="0.3">
      <c r="D80" s="113"/>
      <c r="E80" s="113"/>
      <c r="F80" s="109"/>
      <c r="G80" s="109"/>
      <c r="H80" s="109"/>
    </row>
    <row r="81" spans="4:8" hidden="1" x14ac:dyDescent="0.3">
      <c r="D81" s="113"/>
      <c r="E81" s="113"/>
      <c r="F81" s="109"/>
      <c r="G81" s="109"/>
      <c r="H81" s="109"/>
    </row>
    <row r="82" spans="4:8" hidden="1" x14ac:dyDescent="0.3">
      <c r="D82" s="113"/>
      <c r="E82" s="113"/>
      <c r="F82" s="109"/>
      <c r="G82" s="109"/>
      <c r="H82" s="109"/>
    </row>
    <row r="83" spans="4:8" hidden="1" x14ac:dyDescent="0.3">
      <c r="D83" s="113"/>
      <c r="E83" s="113"/>
      <c r="F83" s="109"/>
      <c r="G83" s="109"/>
      <c r="H83" s="109"/>
    </row>
    <row r="84" spans="4:8" hidden="1" x14ac:dyDescent="0.3">
      <c r="D84" s="113"/>
      <c r="E84" s="113"/>
      <c r="F84" s="109"/>
      <c r="G84" s="109"/>
      <c r="H84" s="109"/>
    </row>
    <row r="85" spans="4:8" hidden="1" x14ac:dyDescent="0.3">
      <c r="D85" s="113"/>
      <c r="E85" s="113"/>
      <c r="F85" s="109"/>
      <c r="G85" s="109"/>
      <c r="H85" s="109"/>
    </row>
    <row r="86" spans="4:8" hidden="1" x14ac:dyDescent="0.3">
      <c r="D86" s="113"/>
      <c r="E86" s="113"/>
      <c r="F86" s="109"/>
      <c r="G86" s="109"/>
      <c r="H86" s="109"/>
    </row>
    <row r="87" spans="4:8" hidden="1" x14ac:dyDescent="0.3">
      <c r="D87" s="113"/>
      <c r="E87" s="113"/>
      <c r="F87" s="109"/>
      <c r="G87" s="109"/>
      <c r="H87" s="109"/>
    </row>
    <row r="88" spans="4:8" hidden="1" x14ac:dyDescent="0.3">
      <c r="D88" s="113"/>
      <c r="E88" s="113"/>
      <c r="F88" s="109"/>
      <c r="G88" s="109"/>
      <c r="H88" s="109"/>
    </row>
    <row r="89" spans="4:8" hidden="1" x14ac:dyDescent="0.3">
      <c r="D89" s="113"/>
      <c r="E89" s="113"/>
      <c r="F89" s="109"/>
      <c r="G89" s="109"/>
      <c r="H89" s="109"/>
    </row>
    <row r="90" spans="4:8" hidden="1" x14ac:dyDescent="0.3">
      <c r="D90" s="113"/>
      <c r="E90" s="113"/>
      <c r="F90" s="109"/>
      <c r="G90" s="109"/>
      <c r="H90" s="109"/>
    </row>
    <row r="91" spans="4:8" hidden="1" x14ac:dyDescent="0.3">
      <c r="D91" s="113"/>
      <c r="E91" s="113"/>
      <c r="F91" s="109"/>
      <c r="G91" s="109"/>
      <c r="H91" s="109"/>
    </row>
    <row r="92" spans="4:8" hidden="1" x14ac:dyDescent="0.3">
      <c r="D92" s="113"/>
      <c r="E92" s="113"/>
      <c r="F92" s="109"/>
      <c r="G92" s="109"/>
      <c r="H92" s="109"/>
    </row>
    <row r="93" spans="4:8" hidden="1" x14ac:dyDescent="0.3">
      <c r="D93" s="113"/>
      <c r="E93" s="113"/>
      <c r="F93" s="109"/>
      <c r="G93" s="109"/>
      <c r="H93" s="109"/>
    </row>
    <row r="94" spans="4:8" hidden="1" x14ac:dyDescent="0.3">
      <c r="D94" s="113"/>
      <c r="E94" s="113"/>
      <c r="F94" s="109"/>
      <c r="G94" s="109"/>
      <c r="H94" s="109"/>
    </row>
    <row r="95" spans="4:8" hidden="1" x14ac:dyDescent="0.3">
      <c r="D95" s="113"/>
      <c r="E95" s="113"/>
      <c r="F95" s="109"/>
      <c r="G95" s="109"/>
      <c r="H95" s="109"/>
    </row>
    <row r="96" spans="4:8" hidden="1" x14ac:dyDescent="0.3">
      <c r="D96" s="113"/>
      <c r="E96" s="113"/>
      <c r="F96" s="109"/>
      <c r="G96" s="109"/>
      <c r="H96" s="109"/>
    </row>
    <row r="97" spans="4:8" hidden="1" x14ac:dyDescent="0.3">
      <c r="D97" s="113"/>
      <c r="E97" s="113"/>
      <c r="F97" s="109"/>
      <c r="G97" s="109"/>
      <c r="H97" s="109"/>
    </row>
    <row r="98" spans="4:8" hidden="1" x14ac:dyDescent="0.3">
      <c r="D98" s="113"/>
      <c r="E98" s="113"/>
      <c r="F98" s="109"/>
      <c r="G98" s="109"/>
      <c r="H98" s="109"/>
    </row>
    <row r="99" spans="4:8" hidden="1" x14ac:dyDescent="0.3">
      <c r="D99" s="113"/>
      <c r="E99" s="113"/>
      <c r="F99" s="109"/>
      <c r="G99" s="109"/>
      <c r="H99" s="109"/>
    </row>
    <row r="100" spans="4:8" hidden="1" x14ac:dyDescent="0.3">
      <c r="D100" s="113"/>
      <c r="E100" s="113"/>
      <c r="F100" s="109"/>
      <c r="G100" s="109"/>
      <c r="H100" s="109"/>
    </row>
    <row r="101" spans="4:8" hidden="1" x14ac:dyDescent="0.3">
      <c r="D101" s="113"/>
      <c r="E101" s="113"/>
      <c r="F101" s="109"/>
      <c r="G101" s="109"/>
      <c r="H101" s="109"/>
    </row>
    <row r="102" spans="4:8" hidden="1" x14ac:dyDescent="0.3">
      <c r="D102" s="113"/>
      <c r="E102" s="113"/>
      <c r="F102" s="109"/>
      <c r="G102" s="109"/>
      <c r="H102" s="109"/>
    </row>
    <row r="103" spans="4:8" hidden="1" x14ac:dyDescent="0.3">
      <c r="D103" s="113"/>
      <c r="E103" s="113"/>
      <c r="F103" s="109"/>
      <c r="G103" s="109"/>
      <c r="H103" s="109"/>
    </row>
    <row r="104" spans="4:8" hidden="1" x14ac:dyDescent="0.3">
      <c r="D104" s="113"/>
      <c r="E104" s="113"/>
      <c r="F104" s="109"/>
      <c r="G104" s="109"/>
      <c r="H104" s="109"/>
    </row>
    <row r="105" spans="4:8" hidden="1" x14ac:dyDescent="0.3">
      <c r="D105" s="113"/>
      <c r="E105" s="113"/>
      <c r="F105" s="109"/>
      <c r="G105" s="109"/>
      <c r="H105" s="109"/>
    </row>
    <row r="106" spans="4:8" hidden="1" x14ac:dyDescent="0.3">
      <c r="D106" s="113"/>
      <c r="E106" s="113"/>
      <c r="F106" s="109"/>
      <c r="G106" s="109"/>
      <c r="H106" s="109"/>
    </row>
    <row r="107" spans="4:8" hidden="1" x14ac:dyDescent="0.3">
      <c r="D107" s="113"/>
      <c r="E107" s="113"/>
      <c r="F107" s="109"/>
      <c r="G107" s="109"/>
      <c r="H107" s="109"/>
    </row>
    <row r="108" spans="4:8" hidden="1" x14ac:dyDescent="0.3">
      <c r="D108" s="113"/>
      <c r="E108" s="113"/>
      <c r="F108" s="109"/>
      <c r="G108" s="109"/>
      <c r="H108" s="109"/>
    </row>
    <row r="109" spans="4:8" hidden="1" x14ac:dyDescent="0.3">
      <c r="D109" s="113"/>
      <c r="E109" s="113"/>
      <c r="F109" s="109"/>
      <c r="G109" s="109"/>
      <c r="H109" s="109"/>
    </row>
    <row r="110" spans="4:8" hidden="1" x14ac:dyDescent="0.3">
      <c r="D110" s="113"/>
      <c r="E110" s="113"/>
      <c r="F110" s="109"/>
      <c r="G110" s="109"/>
      <c r="H110" s="109"/>
    </row>
  </sheetData>
  <sheetProtection algorithmName="SHA-512" hashValue="CUMR37Z1B+17x6lh2hhP10ZkFtFddd74ERIHGqWvR2/Cww6W6YB6GUWKB+eYJeoJT6gD9rVfEYkCQ4yN76zBDQ==" saltValue="VXUDSV0TZz7G1FkqUpnD7A==" spinCount="100000" sheet="1" objects="1" scenarios="1"/>
  <mergeCells count="41">
    <mergeCell ref="D26:D30"/>
    <mergeCell ref="E26:E30"/>
    <mergeCell ref="W26:W30"/>
    <mergeCell ref="D41:D45"/>
    <mergeCell ref="E41:E45"/>
    <mergeCell ref="W41:W45"/>
    <mergeCell ref="D31:D35"/>
    <mergeCell ref="E31:E35"/>
    <mergeCell ref="W31:W35"/>
    <mergeCell ref="D36:D40"/>
    <mergeCell ref="E36:E40"/>
    <mergeCell ref="W36:W40"/>
    <mergeCell ref="AG13:AN13"/>
    <mergeCell ref="D21:D25"/>
    <mergeCell ref="E21:E25"/>
    <mergeCell ref="W21:W25"/>
    <mergeCell ref="D16:D20"/>
    <mergeCell ref="E16:E20"/>
    <mergeCell ref="W16:W20"/>
    <mergeCell ref="P13:T13"/>
    <mergeCell ref="H4:I4"/>
    <mergeCell ref="Y4:Z4"/>
    <mergeCell ref="Y5:Z5"/>
    <mergeCell ref="H13:K13"/>
    <mergeCell ref="L13:O13"/>
    <mergeCell ref="W13:W14"/>
    <mergeCell ref="X13:X14"/>
    <mergeCell ref="Y13:AF13"/>
    <mergeCell ref="C13:C14"/>
    <mergeCell ref="D13:D14"/>
    <mergeCell ref="E13:E14"/>
    <mergeCell ref="F13:F14"/>
    <mergeCell ref="G13:G14"/>
    <mergeCell ref="H3:I3"/>
    <mergeCell ref="Y3:Z3"/>
    <mergeCell ref="M2:N2"/>
    <mergeCell ref="H1:O1"/>
    <mergeCell ref="Y1:AN1"/>
    <mergeCell ref="H2:I2"/>
    <mergeCell ref="Y2:Z2"/>
    <mergeCell ref="AD2:AE2"/>
  </mergeCells>
  <conditionalFormatting sqref="D16:D45 W16:W45">
    <cfRule type="expression" dxfId="39" priority="1">
      <formula>$M$3="imperial"</formula>
    </cfRule>
  </conditionalFormatting>
  <conditionalFormatting sqref="H16:H45">
    <cfRule type="expression" dxfId="38" priority="139">
      <formula>$H48=1</formula>
    </cfRule>
  </conditionalFormatting>
  <conditionalFormatting sqref="I16:I45">
    <cfRule type="expression" dxfId="37" priority="9">
      <formula>$G81=1</formula>
    </cfRule>
  </conditionalFormatting>
  <conditionalFormatting sqref="J16:J45 N16:N45 AB16:AB45 AJ16:AJ45">
    <cfRule type="expression" dxfId="36" priority="3">
      <formula>$M$3="imperial"</formula>
    </cfRule>
  </conditionalFormatting>
  <conditionalFormatting sqref="J16:K17 J19:K45">
    <cfRule type="expression" dxfId="35" priority="33">
      <formula>$G81=1</formula>
    </cfRule>
  </conditionalFormatting>
  <conditionalFormatting sqref="J18:K18">
    <cfRule type="expression" dxfId="34" priority="34">
      <formula>$G86=1</formula>
    </cfRule>
  </conditionalFormatting>
  <conditionalFormatting sqref="L16:L45">
    <cfRule type="expression" dxfId="33" priority="133">
      <formula>$H48=1</formula>
    </cfRule>
  </conditionalFormatting>
  <conditionalFormatting sqref="M16:M45">
    <cfRule type="expression" dxfId="32" priority="8">
      <formula>$G81=1</formula>
    </cfRule>
  </conditionalFormatting>
  <conditionalFormatting sqref="N16:O17 N19:O45">
    <cfRule type="expression" dxfId="31" priority="26">
      <formula>$G81=1</formula>
    </cfRule>
  </conditionalFormatting>
  <conditionalFormatting sqref="N18:O18">
    <cfRule type="expression" dxfId="30" priority="27">
      <formula>$G86=1</formula>
    </cfRule>
  </conditionalFormatting>
  <conditionalFormatting sqref="U16:V17 U19:V45">
    <cfRule type="expression" dxfId="29" priority="148">
      <formula>$G81=1</formula>
    </cfRule>
  </conditionalFormatting>
  <conditionalFormatting sqref="U18:V18">
    <cfRule type="expression" dxfId="28" priority="152">
      <formula>$G86=1</formula>
    </cfRule>
  </conditionalFormatting>
  <conditionalFormatting sqref="Y16:Z45">
    <cfRule type="expression" dxfId="27" priority="121">
      <formula>$H48=1</formula>
    </cfRule>
  </conditionalFormatting>
  <conditionalFormatting sqref="AA16:AA45">
    <cfRule type="expression" dxfId="26" priority="7">
      <formula>$G81=1</formula>
    </cfRule>
  </conditionalFormatting>
  <conditionalFormatting sqref="AB16:AD17 AB19:AD45">
    <cfRule type="expression" dxfId="25" priority="19">
      <formula>$G81=1</formula>
    </cfRule>
  </conditionalFormatting>
  <conditionalFormatting sqref="AB18:AD18">
    <cfRule type="expression" dxfId="24" priority="20">
      <formula>$G86=1</formula>
    </cfRule>
  </conditionalFormatting>
  <conditionalFormatting sqref="AE16:AE45">
    <cfRule type="expression" dxfId="23" priority="11">
      <formula>$H48=1</formula>
    </cfRule>
  </conditionalFormatting>
  <conditionalFormatting sqref="AF16:AF45">
    <cfRule type="expression" dxfId="22" priority="6">
      <formula>$G81=1</formula>
    </cfRule>
  </conditionalFormatting>
  <conditionalFormatting sqref="AG16:AH45">
    <cfRule type="expression" dxfId="21" priority="109">
      <formula>$H48=1</formula>
    </cfRule>
  </conditionalFormatting>
  <conditionalFormatting sqref="AI16:AI45">
    <cfRule type="expression" dxfId="20" priority="5">
      <formula>$G81=1</formula>
    </cfRule>
  </conditionalFormatting>
  <conditionalFormatting sqref="AJ16:AL17 AJ19:AL45">
    <cfRule type="expression" dxfId="19" priority="12">
      <formula>$G81=1</formula>
    </cfRule>
  </conditionalFormatting>
  <conditionalFormatting sqref="AJ18:AL18">
    <cfRule type="expression" dxfId="18" priority="13">
      <formula>$G86=1</formula>
    </cfRule>
  </conditionalFormatting>
  <conditionalFormatting sqref="AM16:AM45">
    <cfRule type="expression" dxfId="17" priority="10">
      <formula>$H48=1</formula>
    </cfRule>
  </conditionalFormatting>
  <conditionalFormatting sqref="AN16:AN45">
    <cfRule type="expression" dxfId="16" priority="4">
      <formula>$G81=1</formula>
    </cfRule>
  </conditionalFormatting>
  <dataValidations count="1">
    <dataValidation type="decimal" allowBlank="1" showInputMessage="1" showErrorMessage="1" sqref="F16:F45 X16:X45" xr:uid="{E9E8E509-F591-4774-A711-6739B20FAAA5}">
      <formula1>20</formula1>
      <formula2>100</formula2>
    </dataValidation>
  </dataValidations>
  <printOptions horizontalCentered="1" verticalCentered="1"/>
  <pageMargins left="0" right="0" top="0.39370078740157483" bottom="0.39370078740157483" header="0" footer="0"/>
  <pageSetup paperSize="9" scale="62" fitToWidth="2" orientation="landscape" horizontalDpi="1200" verticalDpi="1200" r:id="rId1"/>
  <colBreaks count="1" manualBreakCount="1">
    <brk id="21" max="1048575" man="1"/>
  </colBreaks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3EB13BE4-2FBE-4D4D-BBEE-392D974C1348}">
          <x14:formula1>
            <xm:f>'Limits and Glycol'!$B$1:$B$2</xm:f>
          </x14:formula1>
          <xm:sqref>M2</xm:sqref>
        </x14:dataValidation>
        <x14:dataValidation type="list" allowBlank="1" showInputMessage="1" showErrorMessage="1" xr:uid="{6E1A3623-D5E6-4070-A07E-6543BE130B2D}">
          <x14:formula1>
            <xm:f>'Limits and Glycol'!$A$1:$A$2</xm:f>
          </x14:formula1>
          <xm:sqref>M3</xm:sqref>
        </x14:dataValidation>
        <x14:dataValidation type="decimal" allowBlank="1" showInputMessage="1" showErrorMessage="1" xr:uid="{D42E0490-6F6B-4015-A6A7-C200EA59E2B3}">
          <x14:formula1>
            <xm:f>'Limits and Glycol'!B30</xm:f>
          </x14:formula1>
          <x14:formula2>
            <xm:f>'Limits and Glycol'!B29</xm:f>
          </x14:formula2>
          <xm:sqref>AB5</xm:sqref>
        </x14:dataValidation>
        <x14:dataValidation type="decimal" allowBlank="1" showInputMessage="1" showErrorMessage="1" xr:uid="{C1CA40D1-B3E9-490F-9C39-F8F2BB5A6007}">
          <x14:formula1>
            <xm:f>'Limits and Glycol'!B17</xm:f>
          </x14:formula1>
          <x14:formula2>
            <xm:f>'Limits and Glycol'!B15</xm:f>
          </x14:formula2>
          <xm:sqref>AB2:AB3</xm:sqref>
        </x14:dataValidation>
        <x14:dataValidation type="decimal" allowBlank="1" showInputMessage="1" showErrorMessage="1" xr:uid="{6FE8F9E6-B942-4525-BC3B-B3BFEE1EC292}">
          <x14:formula1>
            <xm:f>'Limits and Glycol'!B20</xm:f>
          </x14:formula1>
          <x14:formula2>
            <xm:f>'Limits and Glycol'!B19</xm:f>
          </x14:formula2>
          <xm:sqref>AB4</xm:sqref>
        </x14:dataValidation>
        <x14:dataValidation type="decimal" allowBlank="1" showInputMessage="1" showErrorMessage="1" xr:uid="{B73F6728-B25E-4129-A17F-DE0AEEC8A339}">
          <x14:formula1>
            <xm:f>'Limits and Glycol'!B17</xm:f>
          </x14:formula1>
          <x14:formula2>
            <xm:f>'Limits and Glycol'!B15</xm:f>
          </x14:formula2>
          <xm:sqref>K2:K3</xm:sqref>
        </x14:dataValidation>
        <x14:dataValidation type="decimal" allowBlank="1" showInputMessage="1" showErrorMessage="1" xr:uid="{078C93FC-D6A7-45C4-BF0C-F02CFEE1E12A}">
          <x14:formula1>
            <xm:f>'Limits and Glycol'!B20</xm:f>
          </x14:formula1>
          <x14:formula2>
            <xm:f>'Limits and Glycol'!B19</xm:f>
          </x14:formula2>
          <xm:sqref>K4</xm:sqref>
        </x14:dataValidation>
        <x14:dataValidation type="list" allowBlank="1" showInputMessage="1" showErrorMessage="1" xr:uid="{35E19880-59E0-46FF-AAFC-0C8D3546A04C}">
          <x14:formula1>
            <xm:f>'Limits and Glycol'!$D$2:$D$7</xm:f>
          </x14:formula1>
          <xm:sqref>O2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BZ110"/>
  <sheetViews>
    <sheetView zoomScaleNormal="100" workbookViewId="0">
      <selection activeCell="O8" sqref="O8"/>
    </sheetView>
  </sheetViews>
  <sheetFormatPr baseColWidth="10" defaultColWidth="11.44140625" defaultRowHeight="14.4" zeroHeight="1" x14ac:dyDescent="0.3"/>
  <cols>
    <col min="1" max="1" width="4.44140625" style="106" customWidth="1"/>
    <col min="2" max="3" width="12.44140625" style="115" customWidth="1"/>
    <col min="4" max="4" width="7.44140625" style="108" customWidth="1"/>
    <col min="5" max="5" width="12.109375" style="108" customWidth="1"/>
    <col min="6" max="6" width="8.5546875" style="106" customWidth="1"/>
    <col min="7" max="7" width="11.44140625" style="118" customWidth="1"/>
    <col min="8" max="8" width="9.44140625" style="106" customWidth="1"/>
    <col min="9" max="9" width="13.44140625" style="106" customWidth="1"/>
    <col min="10" max="10" width="10.5546875" style="106" customWidth="1"/>
    <col min="11" max="11" width="12.5546875" style="106" customWidth="1"/>
    <col min="12" max="12" width="11.44140625" style="109" customWidth="1"/>
    <col min="13" max="13" width="14.5546875" style="109" customWidth="1"/>
    <col min="14" max="14" width="10.44140625" style="109" bestFit="1" customWidth="1"/>
    <col min="15" max="15" width="12.5546875" style="109" customWidth="1"/>
    <col min="16" max="17" width="3.44140625" style="109" customWidth="1"/>
    <col min="18" max="18" width="7.5546875" style="109" customWidth="1"/>
    <col min="19" max="19" width="8.5546875" style="109" customWidth="1"/>
    <col min="20" max="20" width="13.5546875" style="106" customWidth="1"/>
    <col min="21" max="21" width="16.109375" style="106" customWidth="1"/>
    <col min="22" max="22" width="13.44140625" style="108" customWidth="1"/>
    <col min="23" max="23" width="10.44140625" style="106" bestFit="1" customWidth="1"/>
    <col min="24" max="24" width="13.44140625" style="106" customWidth="1"/>
    <col min="25" max="25" width="10.88671875" style="106" customWidth="1"/>
    <col min="26" max="26" width="10.44140625" style="106" customWidth="1"/>
    <col min="27" max="27" width="15.5546875" style="106" customWidth="1"/>
    <col min="28" max="28" width="14" style="109" customWidth="1"/>
    <col min="29" max="29" width="15.44140625" style="109" customWidth="1"/>
    <col min="30" max="30" width="13.109375" style="109" customWidth="1"/>
    <col min="31" max="31" width="10.44140625" style="109" bestFit="1" customWidth="1"/>
    <col min="32" max="32" width="12.88671875" style="109" customWidth="1"/>
    <col min="33" max="33" width="11" style="109" bestFit="1" customWidth="1"/>
    <col min="34" max="34" width="10.5546875" style="109" customWidth="1"/>
    <col min="35" max="35" width="16.44140625" style="109" customWidth="1"/>
    <col min="36" max="36" width="11.44140625" style="106" hidden="1" customWidth="1"/>
    <col min="37" max="37" width="7.44140625" style="106" bestFit="1" customWidth="1"/>
    <col min="38" max="38" width="14.5546875" style="106" customWidth="1"/>
    <col min="39" max="39" width="12.88671875" style="106" customWidth="1"/>
    <col min="40" max="40" width="13.44140625" style="106" customWidth="1"/>
    <col min="41" max="41" width="12.5546875" style="109" customWidth="1"/>
    <col min="42" max="43" width="4.44140625" style="109" customWidth="1"/>
    <col min="44" max="49" width="11.44140625" style="109" customWidth="1"/>
    <col min="50" max="66" width="11.44140625" customWidth="1"/>
  </cols>
  <sheetData>
    <row r="1" spans="1:78" ht="21" x14ac:dyDescent="0.4">
      <c r="H1" s="386" t="s">
        <v>203</v>
      </c>
      <c r="I1" s="386"/>
      <c r="J1" s="386"/>
      <c r="K1" s="386"/>
      <c r="L1" s="386"/>
      <c r="M1" s="386"/>
      <c r="N1" s="386"/>
      <c r="O1" s="386"/>
      <c r="P1" s="248"/>
      <c r="Q1" s="248"/>
      <c r="R1" s="248"/>
      <c r="S1" s="248"/>
      <c r="T1" s="386" t="s">
        <v>204</v>
      </c>
      <c r="U1" s="386"/>
      <c r="V1" s="386"/>
      <c r="W1" s="386"/>
      <c r="X1" s="386"/>
      <c r="Y1" s="386"/>
      <c r="Z1" s="386"/>
      <c r="AA1" s="386"/>
      <c r="AB1" s="386"/>
      <c r="AC1" s="386"/>
      <c r="AD1" s="386"/>
      <c r="AE1" s="386"/>
      <c r="AF1" s="386"/>
      <c r="AG1" s="386"/>
      <c r="AH1" s="386"/>
      <c r="AI1" s="386"/>
    </row>
    <row r="2" spans="1:78" ht="15" customHeight="1" x14ac:dyDescent="0.3">
      <c r="H2" s="387" t="s">
        <v>199</v>
      </c>
      <c r="I2" s="388"/>
      <c r="J2" s="316" t="str">
        <f>IF($M$2="metric","°C","°F")</f>
        <v>°F</v>
      </c>
      <c r="K2" s="309">
        <f>IF($Y$3="metric",'Calculation Tool'!K2,('Calculation Tool'!K2-32)/1.8)</f>
        <v>75</v>
      </c>
      <c r="L2" s="247" t="s">
        <v>207</v>
      </c>
      <c r="M2" s="263" t="str">
        <f>'Calculation Tool'!M2</f>
        <v>ethylene glycol</v>
      </c>
      <c r="T2" s="387" t="s">
        <v>199</v>
      </c>
      <c r="U2" s="387"/>
      <c r="V2" s="316" t="str">
        <f>IF($M$2="metric","°C","°F")</f>
        <v>°F</v>
      </c>
      <c r="W2" s="309">
        <f>IF($Y$3="metric",'Calculation Tool'!AB2,('Calculation Tool'!AB2-32)/1.8)</f>
        <v>16</v>
      </c>
      <c r="X2" s="247" t="s">
        <v>211</v>
      </c>
      <c r="Y2" s="415" t="s">
        <v>210</v>
      </c>
      <c r="Z2" s="416"/>
      <c r="AA2" s="264">
        <f>'Calculation Tool'!AF2</f>
        <v>0</v>
      </c>
      <c r="AD2" s="130"/>
      <c r="AE2" s="130"/>
      <c r="AF2" s="130"/>
      <c r="AG2" s="130"/>
      <c r="AH2" s="130"/>
      <c r="AI2" s="130"/>
      <c r="AJ2" s="107"/>
    </row>
    <row r="3" spans="1:78" ht="15" customHeight="1" x14ac:dyDescent="0.3">
      <c r="H3" s="383" t="s">
        <v>200</v>
      </c>
      <c r="I3" s="383"/>
      <c r="J3" s="317" t="str">
        <f>IF($M$2="metric","°C","°F")</f>
        <v>°F</v>
      </c>
      <c r="K3" s="309">
        <f>IF($Y$3="metric",'Calculation Tool'!K3,('Calculation Tool'!K3-32)/1.8)</f>
        <v>65</v>
      </c>
      <c r="L3" s="263"/>
      <c r="T3" s="383" t="s">
        <v>200</v>
      </c>
      <c r="U3" s="383"/>
      <c r="V3" s="317" t="str">
        <f>IF($M$2="metric","°C","°F")</f>
        <v>°F</v>
      </c>
      <c r="W3" s="309">
        <f>IF($Y$3="metric",'Calculation Tool'!AB3,('Calculation Tool'!AB3-32)/1.8)</f>
        <v>18</v>
      </c>
      <c r="X3" s="247" t="s">
        <v>207</v>
      </c>
      <c r="Y3" s="263" t="str">
        <f>'Calculation Tool'!M3</f>
        <v>metric</v>
      </c>
      <c r="AA3" s="109"/>
      <c r="AD3" s="130"/>
      <c r="AE3" s="130"/>
      <c r="AF3" s="130"/>
      <c r="AG3" s="130"/>
      <c r="AH3" s="130"/>
      <c r="AI3" s="130"/>
      <c r="AJ3" s="107"/>
    </row>
    <row r="4" spans="1:78" ht="15" customHeight="1" x14ac:dyDescent="0.3">
      <c r="H4" s="397" t="s">
        <v>214</v>
      </c>
      <c r="I4" s="397"/>
      <c r="J4" s="314" t="str">
        <f>IF($M$2="metric","°C","°F")</f>
        <v>°F</v>
      </c>
      <c r="K4" s="309">
        <f>IF($Y$3="metric",'Calculation Tool'!K4-1.5,('Calculation Tool'!K4-32)/1.8-1.5)</f>
        <v>18.5</v>
      </c>
      <c r="M4" s="130"/>
      <c r="N4" s="130"/>
      <c r="O4" s="130"/>
      <c r="P4" s="130"/>
      <c r="Q4" s="130"/>
      <c r="R4" s="130"/>
      <c r="S4" s="130"/>
      <c r="T4" s="397" t="s">
        <v>214</v>
      </c>
      <c r="U4" s="397"/>
      <c r="V4" s="317" t="str">
        <f>IF($M$2="metric","°C","°F")</f>
        <v>°F</v>
      </c>
      <c r="W4" s="309">
        <f>IF($Y$3="metric",'Calculation Tool'!AB4+1.5,(('Calculation Tool'!AB4)-32)/1.8+1.5)</f>
        <v>27.5</v>
      </c>
      <c r="AA4" s="252"/>
      <c r="AB4" s="130"/>
      <c r="AC4" s="130"/>
      <c r="AD4" s="130"/>
      <c r="AE4" s="130"/>
      <c r="AF4" s="130"/>
      <c r="AG4" s="130"/>
      <c r="AH4" s="130"/>
      <c r="AI4" s="130"/>
      <c r="AJ4" s="107"/>
    </row>
    <row r="5" spans="1:78" ht="15" customHeight="1" x14ac:dyDescent="0.3">
      <c r="H5" s="109"/>
      <c r="I5" s="109"/>
      <c r="J5" s="114"/>
      <c r="K5" s="130"/>
      <c r="L5" s="130"/>
      <c r="M5" s="130"/>
      <c r="N5" s="130"/>
      <c r="O5" s="130"/>
      <c r="P5" s="130"/>
      <c r="Q5" s="130"/>
      <c r="R5" s="130"/>
      <c r="S5" s="130"/>
      <c r="T5" s="398" t="s">
        <v>212</v>
      </c>
      <c r="U5" s="399"/>
      <c r="V5" s="318" t="s">
        <v>206</v>
      </c>
      <c r="W5" s="261">
        <f>'Calculation Tool'!AB5</f>
        <v>50</v>
      </c>
      <c r="X5" s="109" t="str">
        <f>IF(W2&lt;U9,"Attention: Condensate possible","No condensate is expected.")</f>
        <v>Attention: Condensate possible</v>
      </c>
      <c r="AA5" s="218"/>
      <c r="AB5" s="130"/>
      <c r="AC5" s="130"/>
      <c r="AD5" s="130"/>
      <c r="AE5" s="130"/>
      <c r="AF5" s="130"/>
      <c r="AG5" s="130"/>
      <c r="AH5" s="130"/>
      <c r="AI5" s="130"/>
      <c r="AJ5" s="107"/>
      <c r="BP5">
        <f xml:space="preserve"> 2.1931E-44*(W4+273.15)^19.062</f>
        <v>3783.2164139547958</v>
      </c>
      <c r="BQ5" s="249">
        <f>($W$5/100)*$BP$5/(461.5*298)</f>
        <v>1.3754449722435579E-2</v>
      </c>
    </row>
    <row r="6" spans="1:78" ht="14.25" customHeight="1" x14ac:dyDescent="0.3">
      <c r="A6" s="109"/>
      <c r="B6" s="116"/>
      <c r="C6" s="116"/>
      <c r="D6" s="113"/>
      <c r="E6" s="113"/>
      <c r="F6" s="109"/>
      <c r="G6" s="119"/>
      <c r="H6" s="111"/>
      <c r="I6" s="111"/>
      <c r="J6" s="111"/>
      <c r="K6" s="112"/>
      <c r="T6" s="111"/>
      <c r="U6" s="111"/>
      <c r="V6" s="112"/>
      <c r="W6" s="110"/>
      <c r="X6" s="110"/>
      <c r="Y6" s="110"/>
      <c r="Z6" s="110"/>
      <c r="AA6" s="110"/>
      <c r="AD6" s="130"/>
      <c r="AE6" s="130"/>
      <c r="AF6" s="130"/>
      <c r="AG6" s="130"/>
      <c r="AH6" s="130"/>
      <c r="AI6" s="130"/>
      <c r="AJ6" s="110"/>
      <c r="AK6" s="109"/>
      <c r="AL6" s="109"/>
      <c r="AM6" s="109"/>
      <c r="AN6" s="109"/>
    </row>
    <row r="7" spans="1:78" x14ac:dyDescent="0.3">
      <c r="A7" s="109"/>
      <c r="B7" s="116"/>
      <c r="C7" s="116"/>
      <c r="D7" s="113"/>
      <c r="E7" s="113"/>
      <c r="F7" s="109"/>
      <c r="G7" s="119"/>
      <c r="H7" s="109"/>
      <c r="I7" s="109">
        <f>K2-K3</f>
        <v>10</v>
      </c>
      <c r="J7" s="109"/>
      <c r="K7" s="109"/>
      <c r="T7" s="109"/>
      <c r="U7" s="109">
        <f>W3-W2</f>
        <v>2</v>
      </c>
      <c r="V7" s="109"/>
      <c r="W7" s="109"/>
      <c r="X7" s="109"/>
      <c r="Y7" s="109"/>
      <c r="Z7" s="109"/>
      <c r="AA7" s="109"/>
      <c r="AJ7" s="110"/>
      <c r="AK7" s="109"/>
      <c r="AL7" s="109"/>
      <c r="AM7" s="109"/>
      <c r="AN7" s="109"/>
    </row>
    <row r="8" spans="1:78" x14ac:dyDescent="0.3">
      <c r="A8" s="109"/>
      <c r="B8" s="116"/>
      <c r="C8" s="116"/>
      <c r="D8" s="113"/>
      <c r="E8" s="113"/>
      <c r="F8" s="109"/>
      <c r="G8" s="119"/>
      <c r="H8" s="109">
        <f>(K2+K3)/2</f>
        <v>70</v>
      </c>
      <c r="I8" s="109">
        <f>H8-K4</f>
        <v>51.5</v>
      </c>
      <c r="J8" s="109"/>
      <c r="K8" s="109"/>
      <c r="T8" s="109">
        <f>(W2+W3)/2</f>
        <v>17</v>
      </c>
      <c r="U8" s="109">
        <f>W4-T8</f>
        <v>10.5</v>
      </c>
      <c r="V8" s="109"/>
      <c r="W8" s="109"/>
      <c r="X8" s="109"/>
      <c r="Y8" s="109"/>
      <c r="Z8" s="109"/>
      <c r="AA8" s="109"/>
      <c r="AJ8" s="110"/>
      <c r="AK8" s="109"/>
      <c r="AL8" s="109"/>
      <c r="AM8" s="109"/>
      <c r="AN8" s="109"/>
    </row>
    <row r="9" spans="1:78" x14ac:dyDescent="0.3">
      <c r="A9" s="109"/>
      <c r="B9" s="116"/>
      <c r="C9" s="116"/>
      <c r="D9" s="113"/>
      <c r="E9" s="113"/>
      <c r="F9" s="109"/>
      <c r="G9" s="119"/>
      <c r="H9" s="109"/>
      <c r="I9" s="109"/>
      <c r="J9" s="109"/>
      <c r="K9" s="109"/>
      <c r="T9" s="109"/>
      <c r="U9" s="240">
        <f>IF(237.3*(LOG10((W5/100*(6.1078*10^((7.5*W4)/(237.3+W4))))/6.1078))/(7.5-(LOG10((W5/100*(6.1078*10^((7.5*W4)/(237.3+W4))))/6.1078)))&lt;1,1,237.3*(LOG10((W5/100*(6.1078*10^((7.5*W4)/(237.3+W4))))/6.1078))/(7.5-(LOG10((W5/100*(6.1078*10^((7.5*W4)/(237.3+W4))))/6.1078))))</f>
        <v>16.148369326943495</v>
      </c>
      <c r="V9" s="240">
        <f>U9-W2</f>
        <v>0.14836932694349514</v>
      </c>
      <c r="W9" s="109"/>
      <c r="X9" s="109"/>
      <c r="Y9" s="109"/>
      <c r="Z9" s="109"/>
      <c r="AA9" s="109"/>
      <c r="AJ9" s="110"/>
      <c r="AK9" s="109"/>
      <c r="AL9" s="109"/>
      <c r="AM9" s="109"/>
      <c r="AN9" s="109"/>
    </row>
    <row r="10" spans="1:78" x14ac:dyDescent="0.3">
      <c r="A10" s="109"/>
      <c r="B10" s="116"/>
      <c r="C10" s="116"/>
      <c r="D10" s="113"/>
      <c r="E10" s="113"/>
      <c r="F10" s="109"/>
      <c r="G10" s="119"/>
      <c r="H10" s="109"/>
      <c r="I10" s="109"/>
      <c r="J10" s="109"/>
      <c r="K10" s="109"/>
      <c r="T10" s="109" t="str">
        <f>IF(OR(U9&lt;(W3*50+W2)/51,(U9-(W3*50+W2)/51)&lt;0.7),"trocken","feucht")</f>
        <v>trocken</v>
      </c>
      <c r="U10" s="109"/>
      <c r="V10" s="110"/>
      <c r="W10" s="110"/>
      <c r="X10" s="110"/>
      <c r="Y10" s="110"/>
      <c r="Z10" s="110"/>
      <c r="AA10" s="110"/>
      <c r="AJ10" s="110"/>
      <c r="AK10" s="109"/>
      <c r="AL10" s="109"/>
      <c r="AM10" s="109"/>
      <c r="AN10" s="109"/>
    </row>
    <row r="11" spans="1:78" x14ac:dyDescent="0.3">
      <c r="A11" s="109"/>
      <c r="B11" s="116"/>
      <c r="C11" s="116"/>
      <c r="D11" s="113"/>
      <c r="E11" s="113"/>
      <c r="F11" s="109"/>
      <c r="G11" s="119"/>
      <c r="H11" s="111"/>
      <c r="I11" s="109"/>
      <c r="J11" s="109"/>
      <c r="K11" s="109"/>
      <c r="T11" s="111"/>
      <c r="U11" s="109"/>
      <c r="V11" s="110"/>
      <c r="W11" s="110"/>
      <c r="X11" s="110"/>
      <c r="Y11" s="110"/>
      <c r="Z11" s="110"/>
      <c r="AA11" s="110"/>
      <c r="AJ11" s="110"/>
      <c r="AK11" s="109"/>
      <c r="AL11" s="109"/>
      <c r="AM11" s="109"/>
      <c r="AN11" s="109"/>
      <c r="AZ11">
        <f>ROUND(630*1.2/10,0)*10</f>
        <v>760</v>
      </c>
    </row>
    <row r="12" spans="1:78" x14ac:dyDescent="0.3">
      <c r="A12" s="109"/>
      <c r="B12" s="116"/>
      <c r="C12" s="116"/>
      <c r="D12" s="113"/>
      <c r="E12" s="113"/>
      <c r="F12" s="109"/>
      <c r="G12" s="119"/>
      <c r="H12" s="111"/>
      <c r="I12" s="109"/>
      <c r="J12" s="109"/>
      <c r="K12" s="109"/>
      <c r="T12" s="111"/>
      <c r="U12" s="109"/>
      <c r="V12" s="110"/>
      <c r="W12" s="110"/>
      <c r="X12" s="110"/>
      <c r="Y12" s="110"/>
      <c r="Z12" s="110"/>
      <c r="AA12" s="110"/>
      <c r="AJ12" s="110"/>
      <c r="AK12" s="109"/>
      <c r="AL12" s="109"/>
      <c r="AM12" s="109"/>
      <c r="AN12" s="109"/>
    </row>
    <row r="13" spans="1:78" ht="14.25" customHeight="1" x14ac:dyDescent="0.3">
      <c r="B13" s="117"/>
      <c r="C13" s="391" t="s">
        <v>196</v>
      </c>
      <c r="D13" s="388" t="s">
        <v>198</v>
      </c>
      <c r="E13" s="393" t="s">
        <v>1</v>
      </c>
      <c r="F13" s="393" t="s">
        <v>197</v>
      </c>
      <c r="G13" s="395" t="s">
        <v>5</v>
      </c>
      <c r="H13" s="400" t="s">
        <v>201</v>
      </c>
      <c r="I13" s="400"/>
      <c r="J13" s="400"/>
      <c r="K13" s="401"/>
      <c r="L13" s="402" t="s">
        <v>202</v>
      </c>
      <c r="M13" s="400"/>
      <c r="N13" s="400"/>
      <c r="O13" s="401"/>
      <c r="P13" s="255"/>
      <c r="Q13" s="255"/>
      <c r="R13" s="388" t="s">
        <v>198</v>
      </c>
      <c r="S13" s="393" t="s">
        <v>197</v>
      </c>
      <c r="T13" s="400" t="s">
        <v>201</v>
      </c>
      <c r="U13" s="400"/>
      <c r="V13" s="400"/>
      <c r="W13" s="400"/>
      <c r="X13" s="400"/>
      <c r="Y13" s="400"/>
      <c r="Z13" s="400"/>
      <c r="AA13" s="401"/>
      <c r="AB13" s="402" t="s">
        <v>202</v>
      </c>
      <c r="AC13" s="400"/>
      <c r="AD13" s="400"/>
      <c r="AE13" s="400"/>
      <c r="AF13" s="400"/>
      <c r="AG13" s="400"/>
      <c r="AH13" s="400"/>
      <c r="AI13" s="400"/>
      <c r="AJ13" s="321"/>
      <c r="AK13" s="402" t="s">
        <v>205</v>
      </c>
      <c r="AL13" s="400"/>
      <c r="AM13" s="400"/>
      <c r="AN13" s="400"/>
      <c r="AO13" s="400"/>
    </row>
    <row r="14" spans="1:78" s="304" customFormat="1" ht="29.1" customHeight="1" x14ac:dyDescent="0.3">
      <c r="A14" s="297"/>
      <c r="B14" s="258" t="s">
        <v>1</v>
      </c>
      <c r="C14" s="391"/>
      <c r="D14" s="392"/>
      <c r="E14" s="394"/>
      <c r="F14" s="394"/>
      <c r="G14" s="396"/>
      <c r="H14" s="298" t="s">
        <v>216</v>
      </c>
      <c r="I14" s="298" t="s">
        <v>215</v>
      </c>
      <c r="J14" s="298" t="s">
        <v>217</v>
      </c>
      <c r="K14" s="301" t="s">
        <v>218</v>
      </c>
      <c r="L14" s="308" t="s">
        <v>216</v>
      </c>
      <c r="M14" s="298" t="s">
        <v>215</v>
      </c>
      <c r="N14" s="298" t="s">
        <v>217</v>
      </c>
      <c r="O14" s="301" t="s">
        <v>218</v>
      </c>
      <c r="P14" s="299"/>
      <c r="Q14" s="299"/>
      <c r="R14" s="392"/>
      <c r="S14" s="394"/>
      <c r="T14" s="298" t="s">
        <v>222</v>
      </c>
      <c r="U14" s="298" t="s">
        <v>223</v>
      </c>
      <c r="V14" s="298" t="s">
        <v>215</v>
      </c>
      <c r="W14" s="298" t="s">
        <v>217</v>
      </c>
      <c r="X14" s="300" t="s">
        <v>218</v>
      </c>
      <c r="Y14" s="300" t="s">
        <v>219</v>
      </c>
      <c r="Z14" s="300" t="s">
        <v>220</v>
      </c>
      <c r="AA14" s="301" t="s">
        <v>221</v>
      </c>
      <c r="AB14" s="308" t="s">
        <v>222</v>
      </c>
      <c r="AC14" s="298" t="s">
        <v>223</v>
      </c>
      <c r="AD14" s="298" t="s">
        <v>215</v>
      </c>
      <c r="AE14" s="298" t="s">
        <v>217</v>
      </c>
      <c r="AF14" s="300" t="s">
        <v>218</v>
      </c>
      <c r="AG14" s="300" t="s">
        <v>219</v>
      </c>
      <c r="AH14" s="300" t="s">
        <v>220</v>
      </c>
      <c r="AI14" s="300" t="s">
        <v>221</v>
      </c>
      <c r="AJ14" s="301" t="s">
        <v>73</v>
      </c>
      <c r="AK14" s="302" t="s">
        <v>224</v>
      </c>
      <c r="AL14" s="300" t="s">
        <v>225</v>
      </c>
      <c r="AM14" s="300" t="s">
        <v>226</v>
      </c>
      <c r="AN14" s="300" t="s">
        <v>227</v>
      </c>
      <c r="AO14" s="300" t="s">
        <v>228</v>
      </c>
      <c r="AP14" s="303"/>
      <c r="AQ14" s="303"/>
      <c r="AR14" s="303"/>
      <c r="AS14" s="303"/>
      <c r="AT14" s="303"/>
      <c r="AU14" s="303"/>
      <c r="AV14" s="303"/>
      <c r="AW14" s="303"/>
      <c r="AX14" s="303">
        <f>AVERAGE(AX16:AX41)</f>
        <v>0.12497638086775271</v>
      </c>
      <c r="BP14" s="304" t="s">
        <v>193</v>
      </c>
      <c r="BQ14" s="304" t="s">
        <v>191</v>
      </c>
      <c r="BR14" s="304" t="s">
        <v>192</v>
      </c>
      <c r="BS14" s="304" t="s">
        <v>194</v>
      </c>
      <c r="BT14" s="304" t="s">
        <v>190</v>
      </c>
      <c r="BU14" s="304" t="s">
        <v>195</v>
      </c>
    </row>
    <row r="15" spans="1:78" s="27" customFormat="1" x14ac:dyDescent="0.3">
      <c r="A15" s="107"/>
      <c r="B15" s="117"/>
      <c r="C15" s="258"/>
      <c r="D15" s="310" t="str">
        <f>IF($M$2="metric","mm","inch")</f>
        <v>inch</v>
      </c>
      <c r="E15" s="311"/>
      <c r="F15" s="312" t="s">
        <v>206</v>
      </c>
      <c r="G15" s="311"/>
      <c r="H15" s="313" t="str">
        <f>IF($M$2="metric","W","BTU/h")</f>
        <v>BTU/h</v>
      </c>
      <c r="I15" s="313" t="str">
        <f>IF($M$2="metric","°C","°F")</f>
        <v>°F</v>
      </c>
      <c r="J15" s="313" t="str">
        <f>IF($M$2="metric","l/h","gpm")</f>
        <v>gpm</v>
      </c>
      <c r="K15" s="314" t="str">
        <f>IF($M$2="metric","kPa","ft H2O")</f>
        <v>ft H2O</v>
      </c>
      <c r="L15" s="315" t="str">
        <f>IF($M$2="metric","W","BTU/h")</f>
        <v>BTU/h</v>
      </c>
      <c r="M15" s="313" t="str">
        <f>IF($M$2="metric","°C","°F")</f>
        <v>°F</v>
      </c>
      <c r="N15" s="313" t="str">
        <f>IF($M$2="metric","l/h","gpm")</f>
        <v>gpm</v>
      </c>
      <c r="O15" s="314" t="str">
        <f>IF($M$2="metric","kPa","ft H2O")</f>
        <v>ft H2O</v>
      </c>
      <c r="P15" s="256"/>
      <c r="Q15" s="256"/>
      <c r="R15" s="310" t="str">
        <f>IF($M$2="metric","mm","inch")</f>
        <v>inch</v>
      </c>
      <c r="S15" s="312" t="s">
        <v>206</v>
      </c>
      <c r="T15" s="313" t="str">
        <f>IF($M$2="metric","W","BTU/h")</f>
        <v>BTU/h</v>
      </c>
      <c r="U15" s="313" t="str">
        <f>IF($M$2="metric","W","BTU/h")</f>
        <v>BTU/h</v>
      </c>
      <c r="V15" s="313" t="str">
        <f>IF($M$2="metric","°C","°F")</f>
        <v>°F</v>
      </c>
      <c r="W15" s="313" t="str">
        <f>IF($M$2="metric","l/h","gpm")</f>
        <v>gpm</v>
      </c>
      <c r="X15" s="313" t="str">
        <f>IF($M$2="metric","kPa","ft H2O")</f>
        <v>ft H2O</v>
      </c>
      <c r="Y15" s="313" t="str">
        <f>IF($M$2="metric","l/h","gpm")</f>
        <v>gpm</v>
      </c>
      <c r="Z15" s="319" t="s">
        <v>206</v>
      </c>
      <c r="AA15" s="314" t="str">
        <f>IF($M$2="metric","°C","°F")</f>
        <v>°F</v>
      </c>
      <c r="AB15" s="315" t="str">
        <f>IF($M$2="metric","W","BTU/h")</f>
        <v>BTU/h</v>
      </c>
      <c r="AC15" s="313" t="str">
        <f>IF($M$2="metric","W","BTU/h")</f>
        <v>BTU/h</v>
      </c>
      <c r="AD15" s="313" t="str">
        <f>IF($M$2="metric","°C","°F")</f>
        <v>°F</v>
      </c>
      <c r="AE15" s="313" t="str">
        <f>IF($M$2="metric","l/h","gpm")</f>
        <v>gpm</v>
      </c>
      <c r="AF15" s="313" t="str">
        <f>IF($M$2="metric","kPa","ft H2O")</f>
        <v>ft H2O</v>
      </c>
      <c r="AG15" s="313" t="str">
        <f>IF($M$2="metric","l/h","gpm")</f>
        <v>gpm</v>
      </c>
      <c r="AH15" s="319" t="s">
        <v>206</v>
      </c>
      <c r="AI15" s="313" t="str">
        <f>IF($M$2="metric","°C","°F")</f>
        <v>°F</v>
      </c>
      <c r="AJ15" s="322"/>
      <c r="AK15" s="315" t="str">
        <f>IF($Y$3="metric","l/s","cfm")</f>
        <v>l/s</v>
      </c>
      <c r="AL15" s="319" t="s">
        <v>106</v>
      </c>
      <c r="AM15" s="319" t="s">
        <v>106</v>
      </c>
      <c r="AN15" s="320" t="s">
        <v>110</v>
      </c>
      <c r="AO15" s="320" t="s">
        <v>213</v>
      </c>
      <c r="AP15" s="110"/>
      <c r="AQ15" s="110"/>
      <c r="AR15" s="110"/>
      <c r="AS15" s="110"/>
      <c r="AT15" s="110"/>
      <c r="AU15" s="110"/>
      <c r="AV15" s="110"/>
      <c r="AW15" s="110"/>
      <c r="AX15" s="110"/>
    </row>
    <row r="16" spans="1:78" x14ac:dyDescent="0.3">
      <c r="B16" s="117">
        <f>IF(ISNUMBER(VLOOKUP($E$16,$AV$16:$AW$41,2,0)),VLOOKUP($E$16,$AV$16:$AW$41,2,0),$E$16*(1+$AX$14))</f>
        <v>420</v>
      </c>
      <c r="C16" s="253">
        <v>1</v>
      </c>
      <c r="D16" s="409">
        <v>950</v>
      </c>
      <c r="E16" s="411">
        <v>380</v>
      </c>
      <c r="F16" s="259">
        <f>'Calculation Tool'!F16</f>
        <v>100</v>
      </c>
      <c r="G16" s="120">
        <f>IF(ISNUMBER(VLOOKUP(F16,$AQ$16:$AR$20,2,0)),VLOOKUP(F16,$AQ$16:$AR$20,2,0),F16*$AS$16+$AT$16)</f>
        <v>1205</v>
      </c>
      <c r="H16" s="305">
        <f>VLOOKUP('Calculation Tool'!$O$2,'Limits and Glycol'!$D$2:$E$12,2,0)*I$8^Konstanten!$E$4*$B16*$G16^Konstanten!$F$4*I$7^Konstanten!$G$4*H$8^Konstanten!$H$4*(Konstanten!$C$4-I$7^Konstanten!$I$4*Konstanten!$D$4)</f>
        <v>2906.3296637362241</v>
      </c>
      <c r="I16" s="287">
        <f>Konstanten!$C$23*(((($K$2+$K$3)*Konstanten!$I$23+$K$4)/(Konstanten!$I$23+2))^Konstanten!$D$23*$G16^Konstanten!$E$23*ABS($I$7)^Konstanten!$F$23+Konstanten!$H$23*($G16*$B16/C16)^Konstanten!$G$23)</f>
        <v>58.324063518500317</v>
      </c>
      <c r="J16" s="286">
        <f>3.6*H16/(I$7*Konstanten!$K$3)</f>
        <v>249.87350731470457</v>
      </c>
      <c r="K16" s="287">
        <f>'Limits and Glycol'!$M$8*0.00090879*J16^1.8254</f>
        <v>21.640237157988892</v>
      </c>
      <c r="L16" s="288">
        <f>VLOOKUP('Calculation Tool'!$O$2,'Limits and Glycol'!$D$2:$E$12,2,0)*I$8^Konstanten!$E$5*$B16*$G16^Konstanten!$F$5*I$7^Konstanten!$G$5*H$8^Konstanten!$H$5*(Konstanten!$C$5-I$7^Konstanten!$I$5*Konstanten!$D$5)</f>
        <v>1652.5663193893374</v>
      </c>
      <c r="M16" s="287">
        <f>Konstanten!$C$24*(((($K$2+$K$3)*Konstanten!$I$24+$K$4)/(Konstanten!$I$24+2))^Konstanten!$D$24*$G16^Konstanten!$E$24*ABS($I$7)^Konstanten!$F$24+Konstanten!$H$24*($G16*$B16/C16)^Konstanten!$G$24)</f>
        <v>39.969129005178338</v>
      </c>
      <c r="N16" s="286">
        <f>3.6*L16/(I$7*Konstanten!$K$3)</f>
        <v>142.08042103700024</v>
      </c>
      <c r="O16" s="287">
        <f>'Limits and Glycol'!$M$8*0.00049103*N16^1.5514</f>
        <v>1.0728762695373129</v>
      </c>
      <c r="P16" s="257"/>
      <c r="Q16" s="257"/>
      <c r="R16" s="409">
        <v>950</v>
      </c>
      <c r="S16" s="259">
        <v>100</v>
      </c>
      <c r="T16" s="290">
        <f>IF(T$10="trocken",U16,IF(Konstanten!$A$18*(U$9^Konstanten!$B$18*U$8^Konstanten!$C$18*U16^Konstanten!$D$18*T$8^Konstanten!$E$18+U$7^Konstanten!$F$18)&lt;1,U16,U16*Konstanten!$A$18*(U$9^Konstanten!$B$18*U$8^Konstanten!$C$18*U16^Konstanten!$D$18*T$8^Konstanten!$E$18+U$7^Konstanten!$F$18)))</f>
        <v>556.34745361877197</v>
      </c>
      <c r="U16" s="290">
        <f>VLOOKUP('Calculation Tool'!$O$2,'Limits and Glycol'!$D$2:$E$12,2,0)*U$8^Konstanten!$E$6*$B16*$G16^Konstanten!$F$6*U$7^Konstanten!$G$6*T$8^Konstanten!$H$6*(Konstanten!$C$6-U$7^Konstanten!$I$6*Konstanten!$D$6)*(-0.00072478*G16 + 1.8694)</f>
        <v>556.34745361877197</v>
      </c>
      <c r="V16" s="287">
        <f t="shared" ref="V16:V45" si="0">$W$4-(U16/($AK16*0.335))</f>
        <v>19.951187874914901</v>
      </c>
      <c r="W16" s="286">
        <f>3.6*T16/(U$7*Konstanten!$K$3)</f>
        <v>239.16159831403164</v>
      </c>
      <c r="X16" s="287">
        <f>'Limits and Glycol'!$I$8*0.00090879*W16^1.8254</f>
        <v>19.976845333225828</v>
      </c>
      <c r="Y16" s="294">
        <f>3.6*(T16-U16)/2257</f>
        <v>0</v>
      </c>
      <c r="Z16" s="281">
        <f t="shared" ref="Z16:Z45" si="1">100*(($BQ$5*$AK16-Y16)/$AK16*461.5*298)/(2.1931E-44*(V16+273.15)^19.062)</f>
        <v>81.186472596679721</v>
      </c>
      <c r="AA16" s="265">
        <f t="shared" ref="AA16:AA45" si="2">-5.809+0.058*Z16*1+0.697*V16+0.003*V16*Z16*1</f>
        <v>17.665093062457071</v>
      </c>
      <c r="AB16" s="289">
        <f>IF(T$10="trocken",AC16,IF(Konstanten!$A$18*(U$9^Konstanten!$B$18*U$8^Konstanten!$C$18*AC16^Konstanten!$D$18*T$8^Konstanten!$E$18+U$7^Konstanten!$F$18)&lt;1,AC16,AC16*Konstanten!$A$18*(U$9^Konstanten!$B$18*U$8^Konstanten!$C$18*AC16^Konstanten!$D$18*T$8^Konstanten!$E$18+U$7^Konstanten!$F$18)))</f>
        <v>517.42715325026063</v>
      </c>
      <c r="AC16" s="289">
        <f>VLOOKUP('Calculation Tool'!$O$2,'Limits and Glycol'!$D$2:$E$12,2,0)*U$8^Konstanten!$E$7*$B16*$G16^Konstanten!$F$7*U$7^Konstanten!$G$7*T$8^Konstanten!$H$7*(Konstanten!$C$7-U$7^Konstanten!$I$7*Konstanten!$D$7)*(-0.00072478*G16 + 1.8694)</f>
        <v>517.42715325026063</v>
      </c>
      <c r="AD16" s="287">
        <f t="shared" ref="AD16:AD45" si="3">$W$4-(AC16/(AK16*0.335))</f>
        <v>20.47927878900596</v>
      </c>
      <c r="AE16" s="286">
        <f>3.6*AB16/(U$7*Konstanten!$K$3)</f>
        <v>222.43061269982644</v>
      </c>
      <c r="AF16" s="287">
        <f>'Limits and Glycol'!$I$8*0.00099843*AE16^1.7385</f>
        <v>12.020301504533444</v>
      </c>
      <c r="AG16" s="294">
        <f t="shared" ref="AG16:AG45" si="4">3.6*(AB16-AC16)/2257</f>
        <v>0</v>
      </c>
      <c r="AH16" s="281">
        <f>100*(($BQ$5*$AK16-AG16)/$AK16*461.5*298)/(2.1931E-44*(AD16+273.15)^19.062)</f>
        <v>78.447911285645915</v>
      </c>
      <c r="AI16" s="265">
        <f>-5.809+0.058*AH16*1+0.697*AD16+0.003*AD16*AH16*1</f>
        <v>17.834706107406465</v>
      </c>
      <c r="AJ16" s="127">
        <f t="shared" ref="AJ16:AJ45" si="5">ROUNDUP((0.5*(1-0.1*$I$8/85)*B16/C16*(G16-140)/1000)/5,0)*5</f>
        <v>215</v>
      </c>
      <c r="AK16" s="323">
        <f>IF(ISNUMBER(VLOOKUP(F16,$AY$16:$BA$20,3,0)),VLOOKUP(F16,$AY$16:$BA$20,3,0),ROUNDUP((0.5*(1-0.1*$I$8/85)*B16/C16*(G16-140)/1000)/5,0)*5)</f>
        <v>220</v>
      </c>
      <c r="AL16" s="265">
        <f>AM16-8</f>
        <v>39.360182971799667</v>
      </c>
      <c r="AM16" s="265">
        <f>IF(ISNUMBER(VLOOKUP(F16,$AY$16:$BC$20,5,0)),VLOOKUP(F16,$AY$16:$BC$20,5,0),F16^2*BF16+F16*BG16+BH16)</f>
        <v>47.360182971799667</v>
      </c>
      <c r="AN16" s="269">
        <f>IF(ISNUMBER(VLOOKUP(F16,$AY$16:$BD$20,6,0)),VLOOKUP(F16,$AY$16:$BD$20,6,0),F16^2*BI16+F16*BJ16+BK16)</f>
        <v>8.4</v>
      </c>
      <c r="AO16" s="275">
        <f>IF(ISNUMBER(VLOOKUP(F16,$AY$16:$BE$20,7,0)),VLOOKUP(F16,$AY$16:$BE$20,7,0),F16^2*BL16+F16*BM16+BN16)</f>
        <v>74</v>
      </c>
      <c r="AQ16" s="109">
        <v>100</v>
      </c>
      <c r="AR16" s="110">
        <v>1205</v>
      </c>
      <c r="AS16" s="109">
        <f t="array" ref="AS16:AT16">LINEST(AR16:AR20,AQ16:AQ20)</f>
        <v>11.349999999999998</v>
      </c>
      <c r="AT16" s="109">
        <v>66.000000000000114</v>
      </c>
      <c r="AV16" s="109">
        <v>380</v>
      </c>
      <c r="AW16">
        <v>420</v>
      </c>
      <c r="AX16">
        <f>(AW16-AV16)/AV16</f>
        <v>0.10526315789473684</v>
      </c>
      <c r="AY16">
        <v>100</v>
      </c>
      <c r="AZ16">
        <f>AY16^2</f>
        <v>10000</v>
      </c>
      <c r="BA16" s="214">
        <v>220</v>
      </c>
      <c r="BB16" s="194">
        <v>39.360182971799667</v>
      </c>
      <c r="BC16" s="195">
        <v>47.360182971799667</v>
      </c>
      <c r="BD16" s="200">
        <v>8.4</v>
      </c>
      <c r="BE16" s="205">
        <v>74</v>
      </c>
      <c r="BF16">
        <f t="array" ref="BF16:BH16">LINEST(BC16:BC20,AY16:AZ20)</f>
        <v>1.0455861161341262E-3</v>
      </c>
      <c r="BG16">
        <v>0.24822337676301406</v>
      </c>
      <c r="BH16">
        <v>12.886318596577954</v>
      </c>
      <c r="BI16">
        <f t="array" ref="BI16:BK16">LINEST(BD16:BD20,AY16:AZ20)</f>
        <v>1.4642857142857142E-3</v>
      </c>
      <c r="BJ16">
        <v>-8.9714285714285719E-2</v>
      </c>
      <c r="BK16">
        <v>2.6200000000000019</v>
      </c>
      <c r="BL16">
        <f t="array" ref="BL16:BN16">LINEST(BE16:BE20,AY16:AZ20)</f>
        <v>1.2321428571428572E-2</v>
      </c>
      <c r="BM16">
        <v>-0.79357142857142848</v>
      </c>
      <c r="BN16">
        <v>29.6</v>
      </c>
      <c r="BQ16" s="250">
        <f>BQ5*AK16</f>
        <v>3.0259789389358271</v>
      </c>
      <c r="BR16" s="250">
        <f t="shared" ref="BR16:BR45" si="6">BQ16-AG16</f>
        <v>3.0259789389358271</v>
      </c>
      <c r="BS16" s="249">
        <f>BR16/AK16</f>
        <v>1.3754449722435579E-2</v>
      </c>
      <c r="BT16" s="251">
        <f>(BS16*461.5*298)/(2.1931E-44*(AD16+273.15)^19.062)</f>
        <v>0.7844791128564591</v>
      </c>
      <c r="BU16" s="101">
        <f>-5.809+0.058*BT16*100+0.697*AD16+0.003*AD16*BT16*100</f>
        <v>17.834706107406465</v>
      </c>
      <c r="BW16">
        <v>1205</v>
      </c>
      <c r="BX16" s="331">
        <v>1</v>
      </c>
      <c r="BY16">
        <f xml:space="preserve"> -0.00825*BW16 + 1.823</f>
        <v>-8.1182499999999997</v>
      </c>
      <c r="BZ16">
        <f>-0.00072478*BW16 + 1.8694</f>
        <v>0.99604009999999998</v>
      </c>
    </row>
    <row r="17" spans="2:78" x14ac:dyDescent="0.3">
      <c r="B17" s="117">
        <f t="shared" ref="B17:B20" si="7">IF(ISNUMBER(VLOOKUP($E$16,$AV$16:$AW$41,2,0)),VLOOKUP($E$16,$AV$16:$AW$41,2,0),$E$16*(1+$AX$14))</f>
        <v>420</v>
      </c>
      <c r="C17" s="253">
        <v>1.1599999999999999</v>
      </c>
      <c r="D17" s="410"/>
      <c r="E17" s="412"/>
      <c r="F17" s="259">
        <f>'Calculation Tool'!F17</f>
        <v>80</v>
      </c>
      <c r="G17" s="120">
        <f t="shared" ref="G17:G45" si="8">IF(ISNUMBER(VLOOKUP(F17,$AQ$16:$AR$20,2,0)),VLOOKUP(F17,$AQ$16:$AR$20,2,0),F17*$AS$16+$AT$16)</f>
        <v>985</v>
      </c>
      <c r="H17" s="305">
        <f>VLOOKUP('Calculation Tool'!$O$2,'Limits and Glycol'!$D$2:$E$12,2,0)*I$8^Konstanten!$E$4*$B17*$G17^Konstanten!$F$4*I$7^Konstanten!$G$4*H$8^Konstanten!$H$4*(Konstanten!$C$4-I$7^Konstanten!$I$4*Konstanten!$D$4)</f>
        <v>2344.3641537939793</v>
      </c>
      <c r="I17" s="287">
        <f>Konstanten!$C$23*(((($K$2+$K$3)*Konstanten!$I$23+$K$4)/(Konstanten!$I$23+2))^Konstanten!$D$23*$G17^Konstanten!$E$23*ABS($I$7)^Konstanten!$F$23+Konstanten!$H$23*($G17*$B17/C17)^Konstanten!$G$23)</f>
        <v>59.686270183246357</v>
      </c>
      <c r="J17" s="286">
        <f>3.6*H17/(I$7*Konstanten!$K$3)</f>
        <v>201.55817175203197</v>
      </c>
      <c r="K17" s="287">
        <f>'Limits and Glycol'!$M$8*0.00090879*J17^1.8254</f>
        <v>14.618945556650891</v>
      </c>
      <c r="L17" s="288">
        <f>VLOOKUP('Calculation Tool'!$O$2,'Limits and Glycol'!$D$2:$E$12,2,0)*I$8^Konstanten!$E$5*$B17*$G17^Konstanten!$F$5*I$7^Konstanten!$G$5*H$8^Konstanten!$H$5*(Konstanten!$C$5-I$7^Konstanten!$I$5*Konstanten!$D$5)</f>
        <v>1414.8276288977272</v>
      </c>
      <c r="M17" s="287">
        <f>Konstanten!$C$24*(((($K$2+$K$3)*Konstanten!$I$24+$K$4)/(Konstanten!$I$24+2))^Konstanten!$D$24*$G17^Konstanten!$E$24*ABS($I$7)^Konstanten!$F$24+Konstanten!$H$24*($G17*$B17/C17)^Konstanten!$G$24)</f>
        <v>41.757509627920804</v>
      </c>
      <c r="N17" s="286">
        <f>3.6*L17/(I$7*Konstanten!$K$3)</f>
        <v>121.6406886973536</v>
      </c>
      <c r="O17" s="287">
        <f>'Limits and Glycol'!$M$8*0.00049103*N17^1.5514</f>
        <v>0.84313940321304648</v>
      </c>
      <c r="P17" s="257"/>
      <c r="Q17" s="257"/>
      <c r="R17" s="410"/>
      <c r="S17" s="259">
        <v>80</v>
      </c>
      <c r="T17" s="290">
        <f>IF(T$10="trocken",U17,IF(Konstanten!$A$18*(U$9^Konstanten!$B$18*U$8^Konstanten!$C$18*U17^Konstanten!$D$18*T$8^Konstanten!$E$18+U$7^Konstanten!$F$18)&lt;1,U17,U17*Konstanten!$A$18*(U$9^Konstanten!$B$18*U$8^Konstanten!$C$18*U17^Konstanten!$D$18*T$8^Konstanten!$E$18+U$7^Konstanten!$F$18)))</f>
        <v>480.66907982725377</v>
      </c>
      <c r="U17" s="290">
        <f>VLOOKUP('Calculation Tool'!$O$2,'Limits and Glycol'!$D$2:$E$12,2,0)*U$8^Konstanten!$E$6*$B17*$G17^Konstanten!$F$6*U$7^Konstanten!$G$6*T$8^Konstanten!$H$6*(Konstanten!$C$6-U$7^Konstanten!$I$6*Konstanten!$D$6)*(-0.00072478*G17 + 1.8694)</f>
        <v>480.66907982725377</v>
      </c>
      <c r="V17" s="287">
        <f t="shared" si="0"/>
        <v>19.300953862221682</v>
      </c>
      <c r="W17" s="286">
        <f>3.6*T17/(U$7*Konstanten!$K$3)</f>
        <v>206.62912114340995</v>
      </c>
      <c r="X17" s="287">
        <f>'Limits and Glycol'!$I$8*0.00090879*W17^1.8254</f>
        <v>15.297277875108612</v>
      </c>
      <c r="Y17" s="294">
        <f>3.6*(T17-U17)/2257</f>
        <v>0</v>
      </c>
      <c r="Z17" s="281">
        <f t="shared" si="1"/>
        <v>84.697319153406809</v>
      </c>
      <c r="AA17" s="265">
        <f t="shared" si="2"/>
        <v>17.460426500567415</v>
      </c>
      <c r="AB17" s="289">
        <f>IF(T$10="trocken",AC17,IF(Konstanten!$A$18*(U$9^Konstanten!$B$18*U$8^Konstanten!$C$18*AC17^Konstanten!$D$18*T$8^Konstanten!$E$18+U$7^Konstanten!$F$18)&lt;1,AC17,AC17*Konstanten!$A$18*(U$9^Konstanten!$B$18*U$8^Konstanten!$C$18*AC17^Konstanten!$D$18*T$8^Konstanten!$E$18+U$7^Konstanten!$F$18)))</f>
        <v>449.15255160924488</v>
      </c>
      <c r="AC17" s="289">
        <f>VLOOKUP('Calculation Tool'!$O$2,'Limits and Glycol'!$D$2:$E$12,2,0)*U$8^Konstanten!$E$7*$B17*$G17^Konstanten!$F$7*U$7^Konstanten!$G$7*T$8^Konstanten!$H$7*(Konstanten!$C$7-U$7^Konstanten!$I$7*Konstanten!$D$7)*(-0.00072478*G17 + 1.8694)</f>
        <v>449.15255160924488</v>
      </c>
      <c r="AD17" s="287">
        <f t="shared" si="3"/>
        <v>19.838549226281536</v>
      </c>
      <c r="AE17" s="286">
        <f>3.6*AB17/(U$7*Konstanten!$K$3)</f>
        <v>193.08085519395661</v>
      </c>
      <c r="AF17" s="287">
        <f>'Limits and Glycol'!$I$8*0.00099843*AE17^1.7385</f>
        <v>9.3988613909986167</v>
      </c>
      <c r="AG17" s="294">
        <f t="shared" si="4"/>
        <v>0</v>
      </c>
      <c r="AH17" s="281">
        <f t="shared" ref="AH17:AH45" si="9">100*(($BQ$5*$AK17-AG17)/$AK17*461.5*298)/(2.1931E-44*(AD17+273.15)^19.062)</f>
        <v>81.783504373178232</v>
      </c>
      <c r="AI17" s="265">
        <f t="shared" ref="AI17:AI45" si="10">-5.809+0.058*AH17*1+0.697*AD17+0.003*AD17*AH17*1</f>
        <v>17.629310296577891</v>
      </c>
      <c r="AJ17" s="127">
        <f t="shared" si="5"/>
        <v>145</v>
      </c>
      <c r="AK17" s="323">
        <f>IF(ISNUMBER(VLOOKUP(F17,$AY$16:$BA$20,3,0)),VLOOKUP(F17,$AY$16:$BA$20,3,0),ROUNDUP((0.5*(1-0.1*$I$8/85)*B17/C17*(G17-140)/1000)/5,0)*5)</f>
        <v>175</v>
      </c>
      <c r="AL17" s="265">
        <f t="shared" ref="AL17:AL45" si="11">AM17-8</f>
        <v>32.950672290633172</v>
      </c>
      <c r="AM17" s="265">
        <f>IF(ISNUMBER(VLOOKUP(F17,$AY$16:$BC$20,5,0)),VLOOKUP(F17,$AY$16:$BC$20,5,0),F17^2*BF17+F17*BG17+BH17)</f>
        <v>40.950672290633172</v>
      </c>
      <c r="AN17" s="270">
        <f>IF(ISNUMBER(VLOOKUP(F17,$AY$16:$BD$20,6,0)),VLOOKUP(F17,$AY$16:$BD$20,6,0),F17^2*BI17+F17*BJ17+BK17)</f>
        <v>4.5999999999999996</v>
      </c>
      <c r="AO17" s="276">
        <f>IF(ISNUMBER(VLOOKUP(F17,$AY$16:$BE$20,7,0)),VLOOKUP(F17,$AY$16:$BE$20,7,0),F17^2*BL17+F17*BM17+BN17)</f>
        <v>44</v>
      </c>
      <c r="AQ17" s="109">
        <v>80</v>
      </c>
      <c r="AR17" s="110">
        <v>985</v>
      </c>
      <c r="AW17"/>
      <c r="AY17">
        <v>80</v>
      </c>
      <c r="AZ17">
        <f t="shared" ref="AZ17:AZ45" si="12">AY17^2</f>
        <v>6400</v>
      </c>
      <c r="BA17" s="214">
        <v>175</v>
      </c>
      <c r="BB17" s="194">
        <v>32.950672290633172</v>
      </c>
      <c r="BC17" s="195">
        <v>40.950672290633172</v>
      </c>
      <c r="BD17" s="201">
        <v>4.5999999999999996</v>
      </c>
      <c r="BE17" s="206">
        <v>44</v>
      </c>
      <c r="BF17">
        <f>BF16</f>
        <v>1.0455861161341262E-3</v>
      </c>
      <c r="BG17">
        <f t="shared" ref="BG17:BH17" si="13">BG16</f>
        <v>0.24822337676301406</v>
      </c>
      <c r="BH17">
        <f t="shared" si="13"/>
        <v>12.886318596577954</v>
      </c>
      <c r="BI17">
        <f>BI16</f>
        <v>1.4642857142857142E-3</v>
      </c>
      <c r="BJ17">
        <f t="shared" ref="BJ17:BJ20" si="14">BJ16</f>
        <v>-8.9714285714285719E-2</v>
      </c>
      <c r="BK17">
        <f t="shared" ref="BK17:BK20" si="15">BK16</f>
        <v>2.6200000000000019</v>
      </c>
      <c r="BL17">
        <f>BL16</f>
        <v>1.2321428571428572E-2</v>
      </c>
      <c r="BM17">
        <f t="shared" ref="BM17:BM20" si="16">BM16</f>
        <v>-0.79357142857142848</v>
      </c>
      <c r="BN17">
        <f t="shared" ref="BN17:BN20" si="17">BN16</f>
        <v>29.6</v>
      </c>
      <c r="BP17" s="249">
        <f t="shared" ref="BP17:BP45" si="18">($W$5/100)*$BP$5/(461.5*298)</f>
        <v>1.3754449722435579E-2</v>
      </c>
      <c r="BQ17" s="250">
        <f t="shared" ref="BQ17:BQ20" si="19">BP17*AK17</f>
        <v>2.4070287014262264</v>
      </c>
      <c r="BR17" s="250">
        <f t="shared" si="6"/>
        <v>2.4070287014262264</v>
      </c>
      <c r="BS17" s="249">
        <f t="shared" ref="BS17:BS20" si="20">BR17/AK17</f>
        <v>1.3754449722435579E-2</v>
      </c>
      <c r="BT17" s="251">
        <f t="shared" ref="BT17:BT45" si="21">(BS17*461.5*298)/(2.1931E-44*(AD17+273.15)^19.062)</f>
        <v>0.81783504373178229</v>
      </c>
      <c r="BU17" s="101">
        <f t="shared" ref="BU17:BU45" si="22">-5.809+0.058*BT17*100+0.697*AD17+0.003*AD17*BT17*100</f>
        <v>17.629310296577891</v>
      </c>
      <c r="BW17">
        <v>985</v>
      </c>
      <c r="BX17" s="331">
        <v>1.1599999999999999</v>
      </c>
      <c r="BY17">
        <f t="shared" ref="BY17:BY20" si="23" xml:space="preserve"> -0.00825*BW17 + 1.823</f>
        <v>-6.3032500000000002</v>
      </c>
      <c r="BZ17">
        <f t="shared" ref="BZ17:BZ20" si="24">-0.00072478*BW17 + 1.8694</f>
        <v>1.1554917</v>
      </c>
    </row>
    <row r="18" spans="2:78" x14ac:dyDescent="0.3">
      <c r="B18" s="117">
        <f t="shared" si="7"/>
        <v>420</v>
      </c>
      <c r="C18" s="253">
        <v>1.33</v>
      </c>
      <c r="D18" s="410"/>
      <c r="E18" s="412"/>
      <c r="F18" s="259">
        <f>'Calculation Tool'!F18</f>
        <v>60</v>
      </c>
      <c r="G18" s="120">
        <f t="shared" si="8"/>
        <v>735</v>
      </c>
      <c r="H18" s="305">
        <f>VLOOKUP('Calculation Tool'!$O$2,'Limits and Glycol'!$D$2:$E$12,2,0)*I$8^Konstanten!$E$4*$B18*$G18^Konstanten!$F$4*I$7^Konstanten!$G$4*H$8^Konstanten!$H$4*(Konstanten!$C$4-I$7^Konstanten!$I$4*Konstanten!$D$4)</f>
        <v>1715.9236456710062</v>
      </c>
      <c r="I18" s="287">
        <f>Konstanten!$C$23*(((($K$2+$K$3)*Konstanten!$I$23+$K$4)/(Konstanten!$I$23+2))^Konstanten!$D$23*$G18^Konstanten!$E$23*ABS($I$7)^Konstanten!$F$23+Konstanten!$H$23*($G18*$B18/C18)^Konstanten!$G$23)</f>
        <v>61.756230424626942</v>
      </c>
      <c r="J18" s="286">
        <f>3.6*H18/(I$7*Konstanten!$K$3)</f>
        <v>147.52760671920905</v>
      </c>
      <c r="K18" s="287">
        <f>'Limits and Glycol'!$M$8*0.00090879*J18^1.8254</f>
        <v>8.2703684120009324</v>
      </c>
      <c r="L18" s="288">
        <f>VLOOKUP('Calculation Tool'!$O$2,'Limits and Glycol'!$D$2:$E$12,2,0)*I$8^Konstanten!$E$5*$B18*$G18^Konstanten!$F$5*I$7^Konstanten!$G$5*H$8^Konstanten!$H$5*(Konstanten!$C$5-I$7^Konstanten!$I$5*Konstanten!$D$5)</f>
        <v>1129.1171363911649</v>
      </c>
      <c r="M18" s="287">
        <f>Konstanten!$C$24*(((($K$2+$K$3)*Konstanten!$I$24+$K$4)/(Konstanten!$I$24+2))^Konstanten!$D$24*$G18^Konstanten!$E$24*ABS($I$7)^Konstanten!$F$24+Konstanten!$H$24*($G18*$B18/C18)^Konstanten!$G$24)</f>
        <v>44.893063271417496</v>
      </c>
      <c r="N18" s="286">
        <f>3.6*L18/(I$7*Konstanten!$K$3)</f>
        <v>97.076550729794462</v>
      </c>
      <c r="O18" s="287">
        <f>'Limits and Glycol'!$M$8*0.00049103*N18^1.5514</f>
        <v>0.59417887720219886</v>
      </c>
      <c r="P18" s="257"/>
      <c r="Q18" s="257"/>
      <c r="R18" s="410"/>
      <c r="S18" s="259">
        <v>60</v>
      </c>
      <c r="T18" s="290">
        <f>IF(T$10="trocken",U18,IF(Konstanten!$A$18*(U$9^Konstanten!$B$18*U$8^Konstanten!$C$18*U18^Konstanten!$D$18*T$8^Konstanten!$E$18+U$7^Konstanten!$F$18)&lt;1,U18,U18*Konstanten!$A$18*(U$9^Konstanten!$B$18*U$8^Konstanten!$C$18*U18^Konstanten!$D$18*T$8^Konstanten!$E$18+U$7^Konstanten!$F$18)))</f>
        <v>362.4356491598989</v>
      </c>
      <c r="U18" s="290">
        <f>VLOOKUP('Calculation Tool'!$O$2,'Limits and Glycol'!$D$2:$E$12,2,0)*U$8^Konstanten!$E$6*$B18*$G18^Konstanten!$F$6*U$7^Konstanten!$G$6*T$8^Konstanten!$H$6*(Konstanten!$C$6-U$7^Konstanten!$I$6*Konstanten!$D$6)*(-0.00072478*G18 + 1.8694)</f>
        <v>362.4356491598989</v>
      </c>
      <c r="V18" s="287">
        <f t="shared" si="0"/>
        <v>18.844820318569578</v>
      </c>
      <c r="W18" s="286">
        <f>3.6*T18/(U$7*Konstanten!$K$3)</f>
        <v>155.80315605877036</v>
      </c>
      <c r="X18" s="287">
        <f>'Limits and Glycol'!$I$8*0.00090879*W18^1.8254</f>
        <v>9.1367602221882134</v>
      </c>
      <c r="Y18" s="294">
        <f t="shared" ref="Y18:Y45" si="25">3.6*(T18-U18)/2257</f>
        <v>0</v>
      </c>
      <c r="Z18" s="281">
        <f t="shared" si="1"/>
        <v>87.255274948749246</v>
      </c>
      <c r="AA18" s="265">
        <f t="shared" si="2"/>
        <v>17.319575643840146</v>
      </c>
      <c r="AB18" s="289">
        <f>IF(T$10="trocken",AC18,IF(Konstanten!$A$18*(U$9^Konstanten!$B$18*U$8^Konstanten!$C$18*AC18^Konstanten!$D$18*T$8^Konstanten!$E$18+U$7^Konstanten!$F$18)&lt;1,AC18,AC18*Konstanten!$A$18*(U$9^Konstanten!$B$18*U$8^Konstanten!$C$18*AC18^Konstanten!$D$18*T$8^Konstanten!$E$18+U$7^Konstanten!$F$18)))</f>
        <v>340.99491408954793</v>
      </c>
      <c r="AC18" s="289">
        <f>VLOOKUP('Calculation Tool'!$O$2,'Limits and Glycol'!$D$2:$E$12,2,0)*U$8^Konstanten!$E$7*$B18*$G18^Konstanten!$F$7*U$7^Konstanten!$G$7*T$8^Konstanten!$H$7*(Konstanten!$C$7-U$7^Konstanten!$I$7*Konstanten!$D$7)*(-0.00072478*G18 + 1.8694)</f>
        <v>340.99491408954793</v>
      </c>
      <c r="AD18" s="287">
        <f t="shared" si="3"/>
        <v>19.356837872488406</v>
      </c>
      <c r="AE18" s="286">
        <f>3.6*AB18/(U$7*Konstanten!$K$3)</f>
        <v>146.58625314117995</v>
      </c>
      <c r="AF18" s="287">
        <f>'Limits and Glycol'!$I$8*0.00099843*AE18^1.7385</f>
        <v>5.8219802345211535</v>
      </c>
      <c r="AG18" s="294">
        <f t="shared" si="4"/>
        <v>0</v>
      </c>
      <c r="AH18" s="281">
        <f t="shared" si="9"/>
        <v>84.389397301164223</v>
      </c>
      <c r="AI18" s="265">
        <f t="shared" si="10"/>
        <v>17.477836685738882</v>
      </c>
      <c r="AJ18" s="127">
        <f t="shared" si="5"/>
        <v>90</v>
      </c>
      <c r="AK18" s="323">
        <f>IF(ISNUMBER(VLOOKUP(F18,$AY$16:$BA$20,3,0)),VLOOKUP(F18,$AY$16:$BA$20,3,0),ROUNDUP((0.5*(1-0.1*$I$8/85)*B18/C18*(G18-140)/1000)/5,0)*5)</f>
        <v>125</v>
      </c>
      <c r="AL18" s="265">
        <f t="shared" si="11"/>
        <v>23.825640765700399</v>
      </c>
      <c r="AM18" s="265">
        <f>IF(ISNUMBER(VLOOKUP(F18,$AY$16:$BC$20,5,0)),VLOOKUP(F18,$AY$16:$BC$20,5,0),F18^2*BF18+F18*BG18+BH18)</f>
        <v>31.825640765700399</v>
      </c>
      <c r="AN18" s="270">
        <f>IF(ISNUMBER(VLOOKUP(F18,$AY$16:$BD$20,6,0)),VLOOKUP(F18,$AY$16:$BD$20,6,0),F18^2*BI18+F18*BJ18+BK18)</f>
        <v>2.5</v>
      </c>
      <c r="AO18" s="276">
        <f>IF(ISNUMBER(VLOOKUP(F18,$AY$16:$BE$20,7,0)),VLOOKUP(F18,$AY$16:$BE$20,7,0),F18^2*BL18+F18*BM18+BN18)</f>
        <v>26</v>
      </c>
      <c r="AQ18" s="109">
        <v>60</v>
      </c>
      <c r="AR18" s="110">
        <v>735</v>
      </c>
      <c r="AW18"/>
      <c r="AY18">
        <v>60</v>
      </c>
      <c r="AZ18">
        <f t="shared" si="12"/>
        <v>3600</v>
      </c>
      <c r="BA18" s="214">
        <v>125</v>
      </c>
      <c r="BB18" s="194">
        <v>23.825640765700399</v>
      </c>
      <c r="BC18" s="195">
        <v>31.825640765700399</v>
      </c>
      <c r="BD18" s="201">
        <v>2.5</v>
      </c>
      <c r="BE18" s="206">
        <v>26</v>
      </c>
      <c r="BF18">
        <f t="shared" ref="BF18:BF20" si="26">BF17</f>
        <v>1.0455861161341262E-3</v>
      </c>
      <c r="BG18">
        <f t="shared" ref="BG18:BG20" si="27">BG17</f>
        <v>0.24822337676301406</v>
      </c>
      <c r="BH18">
        <f t="shared" ref="BH18:BH20" si="28">BH17</f>
        <v>12.886318596577954</v>
      </c>
      <c r="BI18">
        <f t="shared" ref="BI18:BI20" si="29">BI17</f>
        <v>1.4642857142857142E-3</v>
      </c>
      <c r="BJ18">
        <f t="shared" si="14"/>
        <v>-8.9714285714285719E-2</v>
      </c>
      <c r="BK18">
        <f t="shared" si="15"/>
        <v>2.6200000000000019</v>
      </c>
      <c r="BL18">
        <f t="shared" ref="BL18:BL20" si="30">BL17</f>
        <v>1.2321428571428572E-2</v>
      </c>
      <c r="BM18">
        <f t="shared" si="16"/>
        <v>-0.79357142857142848</v>
      </c>
      <c r="BN18">
        <f t="shared" si="17"/>
        <v>29.6</v>
      </c>
      <c r="BP18" s="249">
        <f t="shared" si="18"/>
        <v>1.3754449722435579E-2</v>
      </c>
      <c r="BQ18" s="250">
        <f t="shared" si="19"/>
        <v>1.7193062153044474</v>
      </c>
      <c r="BR18" s="250">
        <f t="shared" si="6"/>
        <v>1.7193062153044474</v>
      </c>
      <c r="BS18" s="249">
        <f t="shared" si="20"/>
        <v>1.3754449722435579E-2</v>
      </c>
      <c r="BT18" s="251">
        <f t="shared" si="21"/>
        <v>0.84389397301164215</v>
      </c>
      <c r="BU18" s="101">
        <f t="shared" si="22"/>
        <v>17.477836685738882</v>
      </c>
      <c r="BW18">
        <v>735</v>
      </c>
      <c r="BX18" s="331">
        <v>1.33</v>
      </c>
      <c r="BY18">
        <f t="shared" si="23"/>
        <v>-4.2407500000000002</v>
      </c>
      <c r="BZ18">
        <f t="shared" si="24"/>
        <v>1.3366867</v>
      </c>
    </row>
    <row r="19" spans="2:78" x14ac:dyDescent="0.3">
      <c r="B19" s="117">
        <f t="shared" si="7"/>
        <v>420</v>
      </c>
      <c r="C19" s="253">
        <v>1.49</v>
      </c>
      <c r="D19" s="410"/>
      <c r="E19" s="412"/>
      <c r="F19" s="259">
        <f>'Calculation Tool'!F19</f>
        <v>40</v>
      </c>
      <c r="G19" s="120">
        <f t="shared" si="8"/>
        <v>495</v>
      </c>
      <c r="H19" s="305">
        <f>VLOOKUP('Calculation Tool'!$O$2,'Limits and Glycol'!$D$2:$E$12,2,0)*I$8^Konstanten!$E$4*$B19*$G19^Konstanten!$F$4*I$7^Konstanten!$G$4*H$8^Konstanten!$H$4*(Konstanten!$C$4-I$7^Konstanten!$I$4*Konstanten!$D$4)</f>
        <v>1125.9086806316166</v>
      </c>
      <c r="I19" s="287">
        <f>Konstanten!$C$23*(((($K$2+$K$3)*Konstanten!$I$23+$K$4)/(Konstanten!$I$23+2))^Konstanten!$D$23*$G19^Konstanten!$E$23*ABS($I$7)^Konstanten!$F$23+Konstanten!$H$23*($G19*$B19/C19)^Konstanten!$G$23)</f>
        <v>64.706612617979047</v>
      </c>
      <c r="J19" s="286">
        <f>3.6*H19/(I$7*Konstanten!$K$3)</f>
        <v>96.800701742769434</v>
      </c>
      <c r="K19" s="287">
        <f>'Limits and Glycol'!$M$8*0.00090879*J19^1.8254</f>
        <v>3.832535301485871</v>
      </c>
      <c r="L19" s="288">
        <f>VLOOKUP('Calculation Tool'!$O$2,'Limits and Glycol'!$D$2:$E$12,2,0)*I$8^Konstanten!$E$5*$B19*$G19^Konstanten!$F$5*I$7^Konstanten!$G$5*H$8^Konstanten!$H$5*(Konstanten!$C$5-I$7^Konstanten!$I$5*Konstanten!$D$5)</f>
        <v>832.65077085766256</v>
      </c>
      <c r="M19" s="287">
        <f>Konstanten!$C$24*(((($K$2+$K$3)*Konstanten!$I$24+$K$4)/(Konstanten!$I$24+2))^Konstanten!$D$24*$G19^Konstanten!$E$24*ABS($I$7)^Konstanten!$F$24+Konstanten!$H$24*($G19*$B19/C19)^Konstanten!$G$24)</f>
        <v>50.053289004439137</v>
      </c>
      <c r="N19" s="286">
        <f>3.6*L19/(I$7*Konstanten!$K$3)</f>
        <v>71.587669863655094</v>
      </c>
      <c r="O19" s="287">
        <f>'Limits and Glycol'!$M$8*0.00049103*N19^1.5514</f>
        <v>0.37042820861962278</v>
      </c>
      <c r="P19" s="257"/>
      <c r="Q19" s="257"/>
      <c r="R19" s="410"/>
      <c r="S19" s="259">
        <v>40</v>
      </c>
      <c r="T19" s="290">
        <f>IF(T$10="trocken",U19,IF(Konstanten!$A$18*(U$9^Konstanten!$B$18*U$8^Konstanten!$C$18*U19^Konstanten!$D$18*T$8^Konstanten!$E$18+U$7^Konstanten!$F$18)&lt;1,U19,U19*Konstanten!$A$18*(U$9^Konstanten!$B$18*U$8^Konstanten!$C$18*U19^Konstanten!$D$18*T$8^Konstanten!$E$18+U$7^Konstanten!$F$18)))</f>
        <v>229.8156441771292</v>
      </c>
      <c r="U19" s="290">
        <f>VLOOKUP('Calculation Tool'!$O$2,'Limits and Glycol'!$D$2:$E$12,2,0)*U$8^Konstanten!$E$6*$B19*$G19^Konstanten!$F$6*U$7^Konstanten!$G$6*T$8^Konstanten!$H$6*(Konstanten!$C$6-U$7^Konstanten!$I$6*Konstanten!$D$6)*(-0.00072478*G19 + 1.8694)</f>
        <v>229.8156441771292</v>
      </c>
      <c r="V19" s="287">
        <f t="shared" si="0"/>
        <v>18.353108689467497</v>
      </c>
      <c r="W19" s="286">
        <f>3.6*T19/(U$7*Konstanten!$K$3)</f>
        <v>98.792717431279101</v>
      </c>
      <c r="X19" s="287">
        <f>'Limits and Glycol'!$I$8*0.00090879*W19^1.8254</f>
        <v>3.9777220196374863</v>
      </c>
      <c r="Y19" s="294">
        <f t="shared" si="25"/>
        <v>0</v>
      </c>
      <c r="Z19" s="281">
        <f t="shared" si="1"/>
        <v>90.104038308767073</v>
      </c>
      <c r="AA19" s="265">
        <f t="shared" si="2"/>
        <v>17.170218603789571</v>
      </c>
      <c r="AB19" s="289">
        <f>IF(T$10="trocken",AC19,IF(Konstanten!$A$18*(U$9^Konstanten!$B$18*U$8^Konstanten!$C$18*AC19^Konstanten!$D$18*T$8^Konstanten!$E$18+U$7^Konstanten!$F$18)&lt;1,AC19,AC19*Konstanten!$A$18*(U$9^Konstanten!$B$18*U$8^Konstanten!$C$18*AC19^Konstanten!$D$18*T$8^Konstanten!$E$18+U$7^Konstanten!$F$18)))</f>
        <v>218.22568995774532</v>
      </c>
      <c r="AC19" s="289">
        <f>VLOOKUP('Calculation Tool'!$O$2,'Limits and Glycol'!$D$2:$E$12,2,0)*U$8^Konstanten!$E$7*$B19*$G19^Konstanten!$F$7*U$7^Konstanten!$G$7*T$8^Konstanten!$H$7*(Konstanten!$C$7-U$7^Konstanten!$I$7*Konstanten!$D$7)*(-0.00072478*G19 + 1.8694)</f>
        <v>218.22568995774532</v>
      </c>
      <c r="AD19" s="287">
        <f t="shared" si="3"/>
        <v>18.814400399691728</v>
      </c>
      <c r="AE19" s="286">
        <f>3.6*AB19/(U$7*Konstanten!$K$3)</f>
        <v>93.810449682115134</v>
      </c>
      <c r="AF19" s="287">
        <f>'Limits and Glycol'!$I$8*0.00099843*AE19^1.7385</f>
        <v>2.6796394563976609</v>
      </c>
      <c r="AG19" s="294">
        <f t="shared" si="4"/>
        <v>0</v>
      </c>
      <c r="AH19" s="281">
        <f t="shared" si="9"/>
        <v>87.42873401508885</v>
      </c>
      <c r="AI19" s="265">
        <f t="shared" si="10"/>
        <v>17.310261276054376</v>
      </c>
      <c r="AJ19" s="127">
        <f t="shared" si="5"/>
        <v>50</v>
      </c>
      <c r="AK19" s="323">
        <f>IF(ISNUMBER(VLOOKUP(F19,$AY$16:$BA$20,3,0)),VLOOKUP(F19,$AY$16:$BA$20,3,0),ROUNDUP((0.5*(1-0.1*$I$8/85)*B19/C19*(G19-140)/1000)/5,0)*5)</f>
        <v>75</v>
      </c>
      <c r="AL19" s="265">
        <f t="shared" si="11"/>
        <v>14.597712982812446</v>
      </c>
      <c r="AM19" s="265">
        <f>IF(ISNUMBER(VLOOKUP(F19,$AY$16:$BC$20,5,0)),VLOOKUP(F19,$AY$16:$BC$20,5,0),F19^2*BF19+F19*BG19+BH19)</f>
        <v>22.597712982812446</v>
      </c>
      <c r="AN19" s="270">
        <f>IF(ISNUMBER(VLOOKUP(F19,$AY$16:$BD$20,6,0)),VLOOKUP(F19,$AY$16:$BD$20,6,0),F19^2*BI19+F19*BJ19+BK19)</f>
        <v>1.6</v>
      </c>
      <c r="AO19" s="276">
        <f>IF(ISNUMBER(VLOOKUP(F19,$AY$16:$BE$20,7,0)),VLOOKUP(F19,$AY$16:$BE$20,7,0),F19^2*BL19+F19*BM19+BN19)</f>
        <v>19</v>
      </c>
      <c r="AQ19" s="109">
        <v>40</v>
      </c>
      <c r="AR19" s="110">
        <v>495</v>
      </c>
      <c r="AW19"/>
      <c r="AY19">
        <v>40</v>
      </c>
      <c r="AZ19">
        <f t="shared" si="12"/>
        <v>1600</v>
      </c>
      <c r="BA19" s="214">
        <v>75</v>
      </c>
      <c r="BB19" s="194">
        <v>14.597712982812446</v>
      </c>
      <c r="BC19" s="195">
        <v>22.597712982812446</v>
      </c>
      <c r="BD19" s="201">
        <v>1.6</v>
      </c>
      <c r="BE19" s="206">
        <v>19</v>
      </c>
      <c r="BF19">
        <f t="shared" si="26"/>
        <v>1.0455861161341262E-3</v>
      </c>
      <c r="BG19">
        <f t="shared" si="27"/>
        <v>0.24822337676301406</v>
      </c>
      <c r="BH19">
        <f t="shared" si="28"/>
        <v>12.886318596577954</v>
      </c>
      <c r="BI19">
        <f t="shared" si="29"/>
        <v>1.4642857142857142E-3</v>
      </c>
      <c r="BJ19">
        <f t="shared" si="14"/>
        <v>-8.9714285714285719E-2</v>
      </c>
      <c r="BK19">
        <f t="shared" si="15"/>
        <v>2.6200000000000019</v>
      </c>
      <c r="BL19">
        <f t="shared" si="30"/>
        <v>1.2321428571428572E-2</v>
      </c>
      <c r="BM19">
        <f t="shared" si="16"/>
        <v>-0.79357142857142848</v>
      </c>
      <c r="BN19">
        <f t="shared" si="17"/>
        <v>29.6</v>
      </c>
      <c r="BP19" s="249">
        <f t="shared" si="18"/>
        <v>1.3754449722435579E-2</v>
      </c>
      <c r="BQ19" s="250">
        <f t="shared" si="19"/>
        <v>1.0315837291826684</v>
      </c>
      <c r="BR19" s="250">
        <f t="shared" si="6"/>
        <v>1.0315837291826684</v>
      </c>
      <c r="BS19" s="249">
        <f t="shared" si="20"/>
        <v>1.3754449722435579E-2</v>
      </c>
      <c r="BT19" s="251">
        <f t="shared" si="21"/>
        <v>0.87428734015088849</v>
      </c>
      <c r="BU19" s="101">
        <f t="shared" si="22"/>
        <v>17.310261276054376</v>
      </c>
      <c r="BW19">
        <v>495</v>
      </c>
      <c r="BX19" s="331">
        <v>1.49</v>
      </c>
      <c r="BY19">
        <f t="shared" si="23"/>
        <v>-2.2607500000000003</v>
      </c>
      <c r="BZ19">
        <f t="shared" si="24"/>
        <v>1.5106339</v>
      </c>
    </row>
    <row r="20" spans="2:78" x14ac:dyDescent="0.3">
      <c r="B20" s="117">
        <f t="shared" si="7"/>
        <v>420</v>
      </c>
      <c r="C20" s="253">
        <v>1.66</v>
      </c>
      <c r="D20" s="413"/>
      <c r="E20" s="414"/>
      <c r="F20" s="260">
        <f>'Calculation Tool'!F20</f>
        <v>20</v>
      </c>
      <c r="G20" s="120">
        <f t="shared" si="8"/>
        <v>315</v>
      </c>
      <c r="H20" s="305">
        <f>VLOOKUP('Calculation Tool'!$O$2,'Limits and Glycol'!$D$2:$E$12,2,0)*I$8^Konstanten!$E$4*$B20*$G20^Konstanten!$F$4*I$7^Konstanten!$G$4*H$8^Konstanten!$H$4*(Konstanten!$C$4-I$7^Konstanten!$I$4*Konstanten!$D$4)</f>
        <v>695.46307957173497</v>
      </c>
      <c r="I20" s="287">
        <f>Konstanten!$C$23*(((($K$2+$K$3)*Konstanten!$I$23+$K$4)/(Konstanten!$I$23+2))^Konstanten!$D$23*$G20^Konstanten!$E$23*ABS($I$7)^Konstanten!$F$23+Konstanten!$H$23*($G20*$B20/C20)^Konstanten!$G$23)</f>
        <v>68.287839183088565</v>
      </c>
      <c r="J20" s="282">
        <f>3.6*H20/(I$7*Konstanten!$K$3)</f>
        <v>59.792872456552409</v>
      </c>
      <c r="K20" s="287">
        <f>'Limits and Glycol'!$M$8*0.00090879*J20^1.8254</f>
        <v>1.5905941697673904</v>
      </c>
      <c r="L20" s="288">
        <f>VLOOKUP('Calculation Tool'!$O$2,'Limits and Glycol'!$D$2:$E$12,2,0)*I$8^Konstanten!$E$5*$B20*$G20^Konstanten!$F$5*I$7^Konstanten!$G$5*H$8^Konstanten!$H$5*(Konstanten!$C$5-I$7^Konstanten!$I$5*Konstanten!$D$5)</f>
        <v>587.79184570227471</v>
      </c>
      <c r="M20" s="287">
        <f>Konstanten!$C$24*(((($K$2+$K$3)*Konstanten!$I$24+$K$4)/(Konstanten!$I$24+2))^Konstanten!$D$24*$G20^Konstanten!$E$24*ABS($I$7)^Konstanten!$F$24+Konstanten!$H$24*($G20*$B20/C20)^Konstanten!$G$24)</f>
        <v>57.281332343406859</v>
      </c>
      <c r="N20" s="282">
        <f>3.6*L20/(I$7*Konstanten!$K$3)</f>
        <v>50.53577090349691</v>
      </c>
      <c r="O20" s="287">
        <f>'Limits and Glycol'!$M$8*0.00049103*N20^1.5514</f>
        <v>0.21580989450560972</v>
      </c>
      <c r="P20" s="257"/>
      <c r="Q20" s="257"/>
      <c r="R20" s="413"/>
      <c r="S20" s="260">
        <v>20</v>
      </c>
      <c r="T20" s="292">
        <f>IF(T$10="trocken",U20,IF(Konstanten!$A$18*(U$9^Konstanten!$B$18*U$8^Konstanten!$C$18*U20^Konstanten!$D$18*T$8^Konstanten!$E$18+U$7^Konstanten!$F$18)&lt;1,U20,U20*Konstanten!$A$18*(U$9^Konstanten!$B$18*U$8^Konstanten!$C$18*U20^Konstanten!$D$18*T$8^Konstanten!$E$18+U$7^Konstanten!$F$18)))</f>
        <v>128.94132595201515</v>
      </c>
      <c r="U20" s="292">
        <f>VLOOKUP('Calculation Tool'!$O$2,'Limits and Glycol'!$D$2:$E$12,2,0)*U$8^Konstanten!$E$6*$B20*$G20^Konstanten!$F$6*U$7^Konstanten!$G$6*T$8^Konstanten!$H$6*(Konstanten!$C$6-U$7^Konstanten!$I$6*Konstanten!$D$6)*(-0.00072478*G20 + 1.8694)</f>
        <v>128.94132595201515</v>
      </c>
      <c r="V20" s="284">
        <f t="shared" si="0"/>
        <v>17.877512988655589</v>
      </c>
      <c r="W20" s="282">
        <f>3.6*T20/(U$7*Konstanten!$K$3)</f>
        <v>55.429054995811271</v>
      </c>
      <c r="X20" s="284">
        <f>'Limits and Glycol'!$I$8*0.00090879*W20^1.8254</f>
        <v>1.3851025390027971</v>
      </c>
      <c r="Y20" s="295">
        <f t="shared" si="25"/>
        <v>0</v>
      </c>
      <c r="Z20" s="282">
        <f t="shared" si="1"/>
        <v>92.952683386599119</v>
      </c>
      <c r="AA20" s="284">
        <f t="shared" si="2"/>
        <v>17.028170603238642</v>
      </c>
      <c r="AB20" s="291">
        <f>IF(T$10="trocken",AC20,IF(Konstanten!$A$18*(U$9^Konstanten!$B$18*U$8^Konstanten!$C$18*AC20^Konstanten!$D$18*T$8^Konstanten!$E$18+U$7^Konstanten!$F$18)&lt;1,AC20,AC20*Konstanten!$A$18*(U$9^Konstanten!$B$18*U$8^Konstanten!$C$18*AC20^Konstanten!$D$18*T$8^Konstanten!$E$18+U$7^Konstanten!$F$18)))</f>
        <v>123.7378275954177</v>
      </c>
      <c r="AC20" s="291">
        <f>VLOOKUP('Calculation Tool'!$O$2,'Limits and Glycol'!$D$2:$E$12,2,0)*U$8^Konstanten!$E$7*$B20*$G20^Konstanten!$F$7*U$7^Konstanten!$G$7*T$8^Konstanten!$H$7*(Konstanten!$C$7-U$7^Konstanten!$I$7*Konstanten!$D$7)*(-0.00072478*G20 + 1.8694)</f>
        <v>123.7378275954177</v>
      </c>
      <c r="AD20" s="284">
        <f t="shared" si="3"/>
        <v>18.265833761535994</v>
      </c>
      <c r="AE20" s="282">
        <f>3.6*AB20/(U$7*Konstanten!$K$3)</f>
        <v>53.192184896571014</v>
      </c>
      <c r="AF20" s="284">
        <f>'Limits and Glycol'!$I$8*0.00099843*AE20^1.7385</f>
        <v>0.99931883624845808</v>
      </c>
      <c r="AG20" s="295">
        <f t="shared" si="4"/>
        <v>0</v>
      </c>
      <c r="AH20" s="282">
        <f t="shared" si="9"/>
        <v>90.619817841673353</v>
      </c>
      <c r="AI20" s="284">
        <f t="shared" si="10"/>
        <v>17.143975151197676</v>
      </c>
      <c r="AJ20" s="254">
        <f t="shared" si="5"/>
        <v>25</v>
      </c>
      <c r="AK20" s="323">
        <f>IF(ISNUMBER(VLOOKUP(F20,$AY$16:$BA$20,3,0)),VLOOKUP(F20,$AY$16:$BA$20,3,0),ROUNDUP((0.5*(1-0.1*$I$8/85)*B20/C20*(G20-140)/1000)/5,0)*5)</f>
        <v>40</v>
      </c>
      <c r="AL20" s="266">
        <f t="shared" si="11"/>
        <v>11.167291555799096</v>
      </c>
      <c r="AM20" s="266">
        <f>IF(ISNUMBER(VLOOKUP(F20,$AY$16:$BC$20,5,0)),VLOOKUP(F20,$AY$16:$BC$20,5,0),F20^2*BF20+F20*BG20+BH20)</f>
        <v>19.167291555799096</v>
      </c>
      <c r="AN20" s="271">
        <f>IF(ISNUMBER(VLOOKUP(F20,$AY$16:$BD$20,6,0)),VLOOKUP(F20,$AY$16:$BD$20,6,0),F20^2*BI20+F20*BJ20+BK20)</f>
        <v>1.3</v>
      </c>
      <c r="AO20" s="277">
        <f>IF(ISNUMBER(VLOOKUP(F20,$AY$16:$BE$20,7,0)),VLOOKUP(F20,$AY$16:$BE$20,7,0),F20^2*BL20+F20*BM20+BN20)</f>
        <v>18</v>
      </c>
      <c r="AQ20" s="109">
        <v>20</v>
      </c>
      <c r="AR20" s="110">
        <v>315</v>
      </c>
      <c r="AV20" s="109">
        <v>630</v>
      </c>
      <c r="AW20">
        <v>710</v>
      </c>
      <c r="AX20">
        <f t="shared" ref="AX20:AX41" si="31">(AW20-AV20)/AV20</f>
        <v>0.12698412698412698</v>
      </c>
      <c r="AY20">
        <v>20</v>
      </c>
      <c r="AZ20">
        <f t="shared" si="12"/>
        <v>400</v>
      </c>
      <c r="BA20" s="215">
        <v>40</v>
      </c>
      <c r="BB20" s="196">
        <v>11.167291555799096</v>
      </c>
      <c r="BC20" s="197">
        <v>19.167291555799096</v>
      </c>
      <c r="BD20" s="203">
        <v>1.3</v>
      </c>
      <c r="BE20" s="207">
        <v>18</v>
      </c>
      <c r="BF20">
        <f t="shared" si="26"/>
        <v>1.0455861161341262E-3</v>
      </c>
      <c r="BG20">
        <f t="shared" si="27"/>
        <v>0.24822337676301406</v>
      </c>
      <c r="BH20">
        <f t="shared" si="28"/>
        <v>12.886318596577954</v>
      </c>
      <c r="BI20">
        <f t="shared" si="29"/>
        <v>1.4642857142857142E-3</v>
      </c>
      <c r="BJ20">
        <f t="shared" si="14"/>
        <v>-8.9714285714285719E-2</v>
      </c>
      <c r="BK20">
        <f t="shared" si="15"/>
        <v>2.6200000000000019</v>
      </c>
      <c r="BL20">
        <f t="shared" si="30"/>
        <v>1.2321428571428572E-2</v>
      </c>
      <c r="BM20">
        <f t="shared" si="16"/>
        <v>-0.79357142857142848</v>
      </c>
      <c r="BN20">
        <f t="shared" si="17"/>
        <v>29.6</v>
      </c>
      <c r="BP20" s="249">
        <f t="shared" si="18"/>
        <v>1.3754449722435579E-2</v>
      </c>
      <c r="BQ20" s="250">
        <f t="shared" si="19"/>
        <v>0.5501779888974232</v>
      </c>
      <c r="BR20" s="250">
        <f t="shared" si="6"/>
        <v>0.5501779888974232</v>
      </c>
      <c r="BS20" s="249">
        <f t="shared" si="20"/>
        <v>1.375444972243558E-2</v>
      </c>
      <c r="BT20" s="251">
        <f t="shared" si="21"/>
        <v>0.90619817841673356</v>
      </c>
      <c r="BU20" s="101">
        <f t="shared" si="22"/>
        <v>17.143975151197676</v>
      </c>
      <c r="BW20">
        <v>315</v>
      </c>
      <c r="BX20" s="331">
        <v>1.66</v>
      </c>
      <c r="BY20">
        <f t="shared" si="23"/>
        <v>-0.77575000000000038</v>
      </c>
      <c r="BZ20">
        <f t="shared" si="24"/>
        <v>1.6410943</v>
      </c>
    </row>
    <row r="21" spans="2:78" x14ac:dyDescent="0.3">
      <c r="B21" s="117">
        <f>IF(ISNUMBER(VLOOKUP($E$21,$AV$16:$AW$41,2,0)),VLOOKUP($E$21,$AV$16:$AW$41,2,0),$E$21*(1+$AX$14))</f>
        <v>710</v>
      </c>
      <c r="C21" s="253">
        <v>1</v>
      </c>
      <c r="D21" s="409">
        <v>1200</v>
      </c>
      <c r="E21" s="411">
        <v>630</v>
      </c>
      <c r="F21" s="259">
        <f>'Calculation Tool'!F21</f>
        <v>100</v>
      </c>
      <c r="G21" s="120">
        <f t="shared" si="8"/>
        <v>1205</v>
      </c>
      <c r="H21" s="305">
        <f>VLOOKUP('Calculation Tool'!$O$2,'Limits and Glycol'!$D$2:$E$12,2,0)*I$8^Konstanten!$E$4*$B21*$G21^Konstanten!$F$4*I$7^Konstanten!$G$4*H$8^Konstanten!$H$4*(Konstanten!$C$4-I$7^Konstanten!$I$4*Konstanten!$D$4)</f>
        <v>4913.0810982207586</v>
      </c>
      <c r="I21" s="285">
        <f>Konstanten!$C$23*(((($K$2+$K$3)*Konstanten!$I$23+$K$4)/(Konstanten!$I$23+2))^Konstanten!$D$23*$G21^Konstanten!$E$23*ABS($I$7)^Konstanten!$F$23+Konstanten!$H$23*($G21*$B21/C21)^Konstanten!$G$23)</f>
        <v>58.462150968657845</v>
      </c>
      <c r="J21" s="286">
        <f>3.6*H21/(I$7*Konstanten!$K$3)</f>
        <v>422.40521474628622</v>
      </c>
      <c r="K21" s="285">
        <f>'Limits and Glycol'!$M$8*0.0015976*J21^1.7732</f>
        <v>72.345445499067054</v>
      </c>
      <c r="L21" s="288">
        <f>VLOOKUP('Calculation Tool'!$O$2,'Limits and Glycol'!$D$2:$E$12,2,0)*I$8^Konstanten!$E$5*$B21*$G21^Konstanten!$F$5*I$7^Konstanten!$G$5*H$8^Konstanten!$H$5*(Konstanten!$C$5-I$7^Konstanten!$I$5*Konstanten!$D$5)</f>
        <v>2793.6240161105466</v>
      </c>
      <c r="M21" s="285">
        <f>Konstanten!$C$24*(((($K$2+$K$3)*Konstanten!$I$24+$K$4)/(Konstanten!$I$24+2))^Konstanten!$D$24*$G21^Konstanten!$E$24*ABS($I$7)^Konstanten!$F$24+Konstanten!$H$24*($G21*$B21/C21)^Konstanten!$G$24)</f>
        <v>40.951557419946298</v>
      </c>
      <c r="N21" s="286">
        <f>3.6*L21/(I$7*Konstanten!$K$3)</f>
        <v>240.18356889588134</v>
      </c>
      <c r="O21" s="285">
        <f>'Limits and Glycol'!$M$8*0.00039605*N21^1.7088</f>
        <v>4.6304414591404202</v>
      </c>
      <c r="P21" s="257"/>
      <c r="Q21" s="257"/>
      <c r="R21" s="409">
        <v>1200</v>
      </c>
      <c r="S21" s="259">
        <v>100</v>
      </c>
      <c r="T21" s="290">
        <f>IF(T$10="trocken",U21,IF(Konstanten!$A$18*(U$9^Konstanten!$B$18*U$8^Konstanten!$C$18*U21^Konstanten!$D$18*T$8^Konstanten!$E$18+U$7^Konstanten!$F$18)&lt;1,U21,U21*Konstanten!$A$18*(U$9^Konstanten!$B$18*U$8^Konstanten!$C$18*U21^Konstanten!$D$18*T$8^Konstanten!$E$18+U$7^Konstanten!$F$18)))</f>
        <v>940.49212397459064</v>
      </c>
      <c r="U21" s="290">
        <f>VLOOKUP('Calculation Tool'!$O$2,'Limits and Glycol'!$D$2:$E$12,2,0)*U$8^Konstanten!$E$6*$B21*$G21^Konstanten!$F$6*U$7^Konstanten!$G$6*T$8^Konstanten!$H$6*(Konstanten!$C$6-U$7^Konstanten!$I$6*Konstanten!$D$6)*(-0.00072478*G21 + 1.8694)</f>
        <v>940.49212397459064</v>
      </c>
      <c r="V21" s="287">
        <f t="shared" si="0"/>
        <v>19.808385819058756</v>
      </c>
      <c r="W21" s="286">
        <f>3.6*T21/(U$7*Konstanten!$K$3)</f>
        <v>404.29698762610104</v>
      </c>
      <c r="X21" s="287">
        <f>'Limits and Glycol'!$I$8*0.0015976*W21^1.7732</f>
        <v>66.937484583208231</v>
      </c>
      <c r="Y21" s="294">
        <f t="shared" si="25"/>
        <v>0</v>
      </c>
      <c r="Z21" s="283">
        <f t="shared" si="1"/>
        <v>81.944166132892477</v>
      </c>
      <c r="AA21" s="285">
        <f t="shared" si="2"/>
        <v>17.619751526735861</v>
      </c>
      <c r="AB21" s="289">
        <f>IF(T$10="trocken",AC21,IF(Konstanten!$A$18*(U$9^Konstanten!$B$18*U$8^Konstanten!$C$18*AC21^Konstanten!$D$18*T$8^Konstanten!$E$18+U$7^Konstanten!$F$18)&lt;1,AC21,AC21*Konstanten!$A$18*(U$9^Konstanten!$B$18*U$8^Konstanten!$C$18*AC21^Konstanten!$D$18*T$8^Konstanten!$E$18+U$7^Konstanten!$F$18)))</f>
        <v>874.69828287544055</v>
      </c>
      <c r="AC21" s="289">
        <f>VLOOKUP('Calculation Tool'!$O$2,'Limits and Glycol'!$D$2:$E$12,2,0)*U$8^Konstanten!$E$7*$B21*$G21^Konstanten!$F$7*U$7^Konstanten!$G$7*T$8^Konstanten!$H$7*(Konstanten!$C$7-U$7^Konstanten!$I$7*Konstanten!$D$7)*(-0.00072478*G21 + 1.8694)</f>
        <v>874.69828287544055</v>
      </c>
      <c r="AD21" s="287">
        <f t="shared" si="3"/>
        <v>20.346466711302877</v>
      </c>
      <c r="AE21" s="286">
        <f>3.6*AB21/(U$7*Konstanten!$K$3)</f>
        <v>376.01365480208756</v>
      </c>
      <c r="AF21" s="287">
        <f>'Limits and Glycol'!$I$8*0.0010784*AE21^1.7916</f>
        <v>44.311319074169759</v>
      </c>
      <c r="AG21" s="294">
        <f t="shared" si="4"/>
        <v>0</v>
      </c>
      <c r="AH21" s="283">
        <f t="shared" si="9"/>
        <v>79.127365671477847</v>
      </c>
      <c r="AI21" s="285">
        <f t="shared" si="10"/>
        <v>17.791761441487264</v>
      </c>
      <c r="AJ21" s="127">
        <f t="shared" si="5"/>
        <v>360</v>
      </c>
      <c r="AK21" s="324">
        <f>IF(ISNUMBER(VLOOKUP(F21,$AY$21:$BA$25,3,0)),VLOOKUP(F21,$AY$21:$BA$25,3,0),ROUNDUP((0.5*(1-0.1*$I$8/85)*B21/C21*(G21-140)/1000)/5,0)*5)</f>
        <v>365</v>
      </c>
      <c r="AL21" s="265">
        <f t="shared" si="11"/>
        <v>41.555752500167372</v>
      </c>
      <c r="AM21" s="265">
        <f>IF(ISNUMBER(VLOOKUP(F21,$AY$21:$BC$25,5,0)),VLOOKUP(F21,$AY$21:$BC$25,5,0),F21^2*BF21+F21*BG21+BH21)</f>
        <v>49.555752500167372</v>
      </c>
      <c r="AN21" s="269">
        <f>IF(ISNUMBER(VLOOKUP(F21,$AY$21:$BD$25,6,0)),VLOOKUP(F21,$AY$21:$BD$25,6,0),F21^2*BI21+F21*BJ21+BK21)</f>
        <v>16.100000000000001</v>
      </c>
      <c r="AO21" s="275">
        <f>IF(ISNUMBER(VLOOKUP(F21,$AY$21:$BE$25,7,0)),VLOOKUP(F21,$AY$21:$BE$25,7,0),F21^2*BL21+F21*BM21+BN21)</f>
        <v>143</v>
      </c>
      <c r="AR21" s="110"/>
      <c r="AW21">
        <v>710</v>
      </c>
      <c r="AY21">
        <v>100</v>
      </c>
      <c r="AZ21">
        <f t="shared" si="12"/>
        <v>10000</v>
      </c>
      <c r="BA21" s="214">
        <v>365</v>
      </c>
      <c r="BB21" s="194">
        <v>41.555752500167372</v>
      </c>
      <c r="BC21" s="195">
        <v>49.555752500167372</v>
      </c>
      <c r="BD21" s="200">
        <v>16.100000000000001</v>
      </c>
      <c r="BE21" s="205">
        <v>143</v>
      </c>
      <c r="BF21">
        <f t="array" ref="BF21:BH21">LINEST(BC21:BC25,AY21:AZ25)</f>
        <v>1.0455861161341236E-3</v>
      </c>
      <c r="BG21">
        <v>0.24822337676301429</v>
      </c>
      <c r="BH21">
        <v>15.081888124945664</v>
      </c>
      <c r="BI21">
        <f t="array" ref="BI21:BK21">LINEST(BD21:BD25,AY21:AZ25)</f>
        <v>2.8392857142857148E-3</v>
      </c>
      <c r="BJ21">
        <v>-0.1772142857142858</v>
      </c>
      <c r="BK21">
        <v>5.2200000000000042</v>
      </c>
      <c r="BL21">
        <f t="array" ref="BL21:BN21">LINEST(BE21:BE25,AY21:AZ25)</f>
        <v>2.3750000000000004E-2</v>
      </c>
      <c r="BM21">
        <v>-1.5250000000000004</v>
      </c>
      <c r="BN21">
        <v>56.600000000000009</v>
      </c>
      <c r="BP21" s="249">
        <f t="shared" si="18"/>
        <v>1.3754449722435579E-2</v>
      </c>
      <c r="BQ21" s="250">
        <f t="shared" ref="BQ21:BQ45" si="32">BP21*AK21</f>
        <v>5.0203741486889859</v>
      </c>
      <c r="BR21" s="250">
        <f t="shared" si="6"/>
        <v>5.0203741486889859</v>
      </c>
      <c r="BS21" s="249">
        <f t="shared" ref="BS21:BS45" si="33">BR21/AK21</f>
        <v>1.3754449722435579E-2</v>
      </c>
      <c r="BT21" s="251">
        <f t="shared" si="21"/>
        <v>0.79127365671477834</v>
      </c>
      <c r="BU21" s="101">
        <f t="shared" si="22"/>
        <v>17.79176144148726</v>
      </c>
    </row>
    <row r="22" spans="2:78" x14ac:dyDescent="0.3">
      <c r="B22" s="117">
        <f t="shared" ref="B22:B25" si="34">IF(ISNUMBER(VLOOKUP($E$21,$AV$16:$AW$41,2,0)),VLOOKUP($E$21,$AV$16:$AW$41,2,0),$E$21*(1+$AX$14))</f>
        <v>710</v>
      </c>
      <c r="C22" s="253">
        <v>1.1599999999999999</v>
      </c>
      <c r="D22" s="410"/>
      <c r="E22" s="412"/>
      <c r="F22" s="259">
        <f>'Calculation Tool'!F22</f>
        <v>80</v>
      </c>
      <c r="G22" s="120">
        <f t="shared" si="8"/>
        <v>985</v>
      </c>
      <c r="H22" s="305">
        <f>VLOOKUP('Calculation Tool'!$O$2,'Limits and Glycol'!$D$2:$E$12,2,0)*I$8^Konstanten!$E$4*$B22*$G22^Konstanten!$F$4*I$7^Konstanten!$G$4*H$8^Konstanten!$H$4*(Konstanten!$C$4-I$7^Konstanten!$I$4*Konstanten!$D$4)</f>
        <v>3963.0917837945844</v>
      </c>
      <c r="I22" s="287">
        <f>Konstanten!$C$23*(((($K$2+$K$3)*Konstanten!$I$23+$K$4)/(Konstanten!$I$23+2))^Konstanten!$D$23*$G22^Konstanten!$E$23*ABS($I$7)^Konstanten!$F$23+Konstanten!$H$23*($G22*$B22/C22)^Konstanten!$G$23)</f>
        <v>59.820493359641169</v>
      </c>
      <c r="J22" s="286">
        <f>3.6*H22/(I$7*Konstanten!$K$3)</f>
        <v>340.72929034272067</v>
      </c>
      <c r="K22" s="287">
        <f>'Limits and Glycol'!$M$8*0.0015976*J22^1.7732</f>
        <v>49.423844186390205</v>
      </c>
      <c r="L22" s="288">
        <f>VLOOKUP('Calculation Tool'!$O$2,'Limits and Glycol'!$D$2:$E$12,2,0)*I$8^Konstanten!$E$5*$B22*$G22^Konstanten!$F$5*I$7^Konstanten!$G$5*H$8^Konstanten!$H$5*(Konstanten!$C$5-I$7^Konstanten!$I$5*Konstanten!$D$5)</f>
        <v>2391.7324202794912</v>
      </c>
      <c r="M22" s="287">
        <f>Konstanten!$C$24*(((($K$2+$K$3)*Konstanten!$I$24+$K$4)/(Konstanten!$I$24+2))^Konstanten!$D$24*$G22^Konstanten!$E$24*ABS($I$7)^Konstanten!$F$24+Konstanten!$H$24*($G22*$B22/C22)^Konstanten!$G$24)</f>
        <v>42.684229078644343</v>
      </c>
      <c r="N22" s="286">
        <f>3.6*L22/(I$7*Konstanten!$K$3)</f>
        <v>205.63068803600248</v>
      </c>
      <c r="O22" s="287">
        <f>'Limits and Glycol'!$M$8*0.00039605*N22^1.7088</f>
        <v>3.5510326882390237</v>
      </c>
      <c r="P22" s="257"/>
      <c r="Q22" s="257"/>
      <c r="R22" s="410"/>
      <c r="S22" s="259">
        <v>80</v>
      </c>
      <c r="T22" s="290">
        <f>IF(T$10="trocken",U22,IF(Konstanten!$A$18*(U$9^Konstanten!$B$18*U$8^Konstanten!$C$18*U22^Konstanten!$D$18*T$8^Konstanten!$E$18+U$7^Konstanten!$F$18)&lt;1,U22,U22*Konstanten!$A$18*(U$9^Konstanten!$B$18*U$8^Konstanten!$C$18*U22^Konstanten!$D$18*T$8^Konstanten!$E$18+U$7^Konstanten!$F$18)))</f>
        <v>812.55963494607192</v>
      </c>
      <c r="U22" s="290">
        <f>VLOOKUP('Calculation Tool'!$O$2,'Limits and Glycol'!$D$2:$E$12,2,0)*U$8^Konstanten!$E$6*$B22*$G22^Konstanten!$F$6*U$7^Konstanten!$G$6*T$8^Konstanten!$H$6*(Konstanten!$C$6-U$7^Konstanten!$I$6*Konstanten!$D$6)*(-0.00072478*G22 + 1.8694)</f>
        <v>812.55963494607192</v>
      </c>
      <c r="V22" s="287">
        <f t="shared" si="0"/>
        <v>19.136030520369822</v>
      </c>
      <c r="W22" s="286">
        <f>3.6*T22/(U$7*Konstanten!$K$3)</f>
        <v>349.30160955195493</v>
      </c>
      <c r="X22" s="287">
        <f>'Limits and Glycol'!$I$8*0.0015976*W22^1.7732</f>
        <v>51.650119711355551</v>
      </c>
      <c r="Y22" s="294">
        <f t="shared" si="25"/>
        <v>0</v>
      </c>
      <c r="Z22" s="281">
        <f t="shared" si="1"/>
        <v>85.612963301504038</v>
      </c>
      <c r="AA22" s="265">
        <f t="shared" si="2"/>
        <v>17.409241980215647</v>
      </c>
      <c r="AB22" s="289">
        <f>IF(T$10="trocken",AC22,IF(Konstanten!$A$18*(U$9^Konstanten!$B$18*U$8^Konstanten!$C$18*AC22^Konstanten!$D$18*T$8^Konstanten!$E$18+U$7^Konstanten!$F$18)&lt;1,AC22,AC22*Konstanten!$A$18*(U$9^Konstanten!$B$18*U$8^Konstanten!$C$18*AC22^Konstanten!$D$18*T$8^Konstanten!$E$18+U$7^Konstanten!$F$18)))</f>
        <v>759.28169438705663</v>
      </c>
      <c r="AC22" s="289">
        <f>VLOOKUP('Calculation Tool'!$O$2,'Limits and Glycol'!$D$2:$E$12,2,0)*U$8^Konstanten!$E$7*$B22*$G22^Konstanten!$F$7*U$7^Konstanten!$G$7*T$8^Konstanten!$H$7*(Konstanten!$C$7-U$7^Konstanten!$I$7*Konstanten!$D$7)*(-0.00072478*G22 + 1.8694)</f>
        <v>759.28169438705663</v>
      </c>
      <c r="AD22" s="287">
        <f t="shared" si="3"/>
        <v>19.684439584281456</v>
      </c>
      <c r="AE22" s="286">
        <f>3.6*AB22/(U$7*Konstanten!$K$3)</f>
        <v>326.39858854216465</v>
      </c>
      <c r="AF22" s="287">
        <f>'Limits and Glycol'!$I$8*0.0010784*AE22^1.7916</f>
        <v>34.388345654171502</v>
      </c>
      <c r="AG22" s="294">
        <f t="shared" si="4"/>
        <v>0</v>
      </c>
      <c r="AH22" s="281">
        <f t="shared" si="9"/>
        <v>82.60784593958644</v>
      </c>
      <c r="AI22" s="265">
        <f t="shared" si="10"/>
        <v>17.580576912496447</v>
      </c>
      <c r="AJ22" s="127">
        <f t="shared" si="5"/>
        <v>245</v>
      </c>
      <c r="AK22" s="323">
        <f>IF(ISNUMBER(VLOOKUP(F22,$AY$21:$BA$25,3,0)),VLOOKUP(F22,$AY$21:$BA$25,3,0),ROUNDUP((0.5*(1-0.1*$I$8/85)*B22/C22*(G22-140)/1000)/5,0)*5)</f>
        <v>290</v>
      </c>
      <c r="AL22" s="265">
        <f t="shared" si="11"/>
        <v>35.146241819000892</v>
      </c>
      <c r="AM22" s="265">
        <f>IF(ISNUMBER(VLOOKUP(F22,$AY$21:$BC$25,5,0)),VLOOKUP(F22,$AY$21:$BC$25,5,0),F22^2*BF22+F22*BG22+BH22)</f>
        <v>43.146241819000892</v>
      </c>
      <c r="AN22" s="270">
        <f>IF(ISNUMBER(VLOOKUP(F22,$AY$21:$BD$25,6,0)),VLOOKUP(F22,$AY$21:$BD$25,6,0),F22^2*BI22+F22*BJ22+BK22)</f>
        <v>8.8000000000000007</v>
      </c>
      <c r="AO22" s="276">
        <f>IF(ISNUMBER(VLOOKUP(F22,$AY$21:$BE$25,7,0)),VLOOKUP(F22,$AY$21:$BE$25,7,0),F22^2*BL22+F22*BM22+BN22)</f>
        <v>84</v>
      </c>
      <c r="AR22" s="110"/>
      <c r="AW22">
        <v>710</v>
      </c>
      <c r="AY22">
        <v>80</v>
      </c>
      <c r="AZ22">
        <f t="shared" si="12"/>
        <v>6400</v>
      </c>
      <c r="BA22" s="214">
        <v>290</v>
      </c>
      <c r="BB22" s="194">
        <v>35.146241819000892</v>
      </c>
      <c r="BC22" s="195">
        <v>43.146241819000892</v>
      </c>
      <c r="BD22" s="201">
        <v>8.8000000000000007</v>
      </c>
      <c r="BE22" s="206">
        <v>84</v>
      </c>
      <c r="BF22">
        <f>BF21</f>
        <v>1.0455861161341236E-3</v>
      </c>
      <c r="BG22">
        <f t="shared" ref="BG22:BG25" si="35">BG21</f>
        <v>0.24822337676301429</v>
      </c>
      <c r="BH22">
        <f t="shared" ref="BH22:BH25" si="36">BH21</f>
        <v>15.081888124945664</v>
      </c>
      <c r="BI22">
        <f>BI21</f>
        <v>2.8392857142857148E-3</v>
      </c>
      <c r="BJ22">
        <f t="shared" ref="BJ22:BJ25" si="37">BJ21</f>
        <v>-0.1772142857142858</v>
      </c>
      <c r="BK22">
        <f t="shared" ref="BK22:BK25" si="38">BK21</f>
        <v>5.2200000000000042</v>
      </c>
      <c r="BL22">
        <f>BL21</f>
        <v>2.3750000000000004E-2</v>
      </c>
      <c r="BM22">
        <f t="shared" ref="BM22:BM25" si="39">BM21</f>
        <v>-1.5250000000000004</v>
      </c>
      <c r="BN22">
        <f t="shared" ref="BN22:BN25" si="40">BN21</f>
        <v>56.600000000000009</v>
      </c>
      <c r="BP22" s="249">
        <f t="shared" si="18"/>
        <v>1.3754449722435579E-2</v>
      </c>
      <c r="BQ22" s="250">
        <f t="shared" si="32"/>
        <v>3.988790419506318</v>
      </c>
      <c r="BR22" s="250">
        <f t="shared" si="6"/>
        <v>3.988790419506318</v>
      </c>
      <c r="BS22" s="249">
        <f t="shared" si="33"/>
        <v>1.3754449722435579E-2</v>
      </c>
      <c r="BT22" s="251">
        <f t="shared" si="21"/>
        <v>0.82607845939586444</v>
      </c>
      <c r="BU22" s="101">
        <f t="shared" si="22"/>
        <v>17.580576912496447</v>
      </c>
    </row>
    <row r="23" spans="2:78" x14ac:dyDescent="0.3">
      <c r="B23" s="117">
        <f t="shared" si="34"/>
        <v>710</v>
      </c>
      <c r="C23" s="253">
        <v>1.33</v>
      </c>
      <c r="D23" s="410"/>
      <c r="E23" s="412"/>
      <c r="F23" s="259">
        <f>'Calculation Tool'!F23</f>
        <v>60</v>
      </c>
      <c r="G23" s="120">
        <f t="shared" si="8"/>
        <v>735</v>
      </c>
      <c r="H23" s="305">
        <f>VLOOKUP('Calculation Tool'!$O$2,'Limits and Glycol'!$D$2:$E$12,2,0)*I$8^Konstanten!$E$4*$B23*$G23^Konstanten!$F$4*I$7^Konstanten!$G$4*H$8^Konstanten!$H$4*(Konstanten!$C$4-I$7^Konstanten!$I$4*Konstanten!$D$4)</f>
        <v>2900.7280676819387</v>
      </c>
      <c r="I23" s="287">
        <f>Konstanten!$C$23*(((($K$2+$K$3)*Konstanten!$I$23+$K$4)/(Konstanten!$I$23+2))^Konstanten!$D$23*$G23^Konstanten!$E$23*ABS($I$7)^Konstanten!$F$23+Konstanten!$H$23*($G23*$B23/C23)^Konstanten!$G$23)</f>
        <v>61.885858897367775</v>
      </c>
      <c r="J23" s="286">
        <f>3.6*H23/(I$7*Konstanten!$K$3)</f>
        <v>249.39190659675808</v>
      </c>
      <c r="K23" s="287">
        <f>'Limits and Glycol'!$M$8*0.0015976*J23^1.7732</f>
        <v>28.41972325002131</v>
      </c>
      <c r="L23" s="288">
        <f>VLOOKUP('Calculation Tool'!$O$2,'Limits and Glycol'!$D$2:$E$12,2,0)*I$8^Konstanten!$E$5*$B23*$G23^Konstanten!$F$5*I$7^Konstanten!$G$5*H$8^Konstanten!$H$5*(Konstanten!$C$5-I$7^Konstanten!$I$5*Konstanten!$D$5)</f>
        <v>1908.7456353279215</v>
      </c>
      <c r="M23" s="287">
        <f>Konstanten!$C$24*(((($K$2+$K$3)*Konstanten!$I$24+$K$4)/(Konstanten!$I$24+2))^Konstanten!$D$24*$G23^Konstanten!$E$24*ABS($I$7)^Konstanten!$F$24+Konstanten!$H$24*($G23*$B23/C23)^Konstanten!$G$24)</f>
        <v>45.755715933620351</v>
      </c>
      <c r="N23" s="286">
        <f>3.6*L23/(I$7*Konstanten!$K$3)</f>
        <v>164.10559766227158</v>
      </c>
      <c r="O23" s="287">
        <f>'Limits and Glycol'!$M$8*0.00039605*N23^1.7088</f>
        <v>2.4151987500278365</v>
      </c>
      <c r="P23" s="257"/>
      <c r="Q23" s="257"/>
      <c r="R23" s="410"/>
      <c r="S23" s="259">
        <v>60</v>
      </c>
      <c r="T23" s="290">
        <f>IF(T$10="trocken",U23,IF(Konstanten!$A$18*(U$9^Konstanten!$B$18*U$8^Konstanten!$C$18*U23^Konstanten!$D$18*T$8^Konstanten!$E$18+U$7^Konstanten!$F$18)&lt;1,U23,U23*Konstanten!$A$18*(U$9^Konstanten!$B$18*U$8^Konstanten!$C$18*U23^Konstanten!$D$18*T$8^Konstanten!$E$18+U$7^Konstanten!$F$18)))</f>
        <v>612.68883548459098</v>
      </c>
      <c r="U23" s="290">
        <f>VLOOKUP('Calculation Tool'!$O$2,'Limits and Glycol'!$D$2:$E$12,2,0)*U$8^Konstanten!$E$6*$B23*$G23^Konstanten!$F$6*U$7^Konstanten!$G$6*T$8^Konstanten!$H$6*(Konstanten!$C$6-U$7^Konstanten!$I$6*Konstanten!$D$6)*(-0.00072478*G23 + 1.8694)</f>
        <v>612.68883548459098</v>
      </c>
      <c r="V23" s="287">
        <f t="shared" si="0"/>
        <v>18.578429770883275</v>
      </c>
      <c r="W23" s="286">
        <f>3.6*T23/(U$7*Konstanten!$K$3)</f>
        <v>263.38152571839754</v>
      </c>
      <c r="X23" s="287">
        <f>'Limits and Glycol'!$I$8*0.0015976*W23^1.7732</f>
        <v>31.307610493007292</v>
      </c>
      <c r="Y23" s="294">
        <f t="shared" si="25"/>
        <v>0</v>
      </c>
      <c r="Z23" s="281">
        <f t="shared" si="1"/>
        <v>88.786663874241611</v>
      </c>
      <c r="AA23" s="265">
        <f t="shared" si="2"/>
        <v>17.238342453147506</v>
      </c>
      <c r="AB23" s="289">
        <f>IF(T$10="trocken",AC23,IF(Konstanten!$A$18*(U$9^Konstanten!$B$18*U$8^Konstanten!$C$18*AC23^Konstanten!$D$18*T$8^Konstanten!$E$18+U$7^Konstanten!$F$18)&lt;1,AC23,AC23*Konstanten!$A$18*(U$9^Konstanten!$B$18*U$8^Konstanten!$C$18*AC23^Konstanten!$D$18*T$8^Konstanten!$E$18+U$7^Konstanten!$F$18)))</f>
        <v>576.44378334185478</v>
      </c>
      <c r="AC23" s="289">
        <f>VLOOKUP('Calculation Tool'!$O$2,'Limits and Glycol'!$D$2:$E$12,2,0)*U$8^Konstanten!$E$7*$B23*$G23^Konstanten!$F$7*U$7^Konstanten!$G$7*T$8^Konstanten!$H$7*(Konstanten!$C$7-U$7^Konstanten!$I$7*Konstanten!$D$7)*(-0.00072478*G23 + 1.8694)</f>
        <v>576.44378334185478</v>
      </c>
      <c r="AD23" s="287">
        <f t="shared" si="3"/>
        <v>19.106206285520862</v>
      </c>
      <c r="AE23" s="286">
        <f>3.6*AB23/(U$7*Konstanten!$K$3)</f>
        <v>247.80057078628039</v>
      </c>
      <c r="AF23" s="287">
        <f>'Limits and Glycol'!$I$8*0.0010784*AE23^1.7916</f>
        <v>20.991987745625547</v>
      </c>
      <c r="AG23" s="294">
        <f t="shared" si="4"/>
        <v>0</v>
      </c>
      <c r="AH23" s="281">
        <f t="shared" si="9"/>
        <v>85.779654955286844</v>
      </c>
      <c r="AI23" s="265">
        <f t="shared" si="10"/>
        <v>17.400017116444211</v>
      </c>
      <c r="AJ23" s="127">
        <f t="shared" si="5"/>
        <v>150</v>
      </c>
      <c r="AK23" s="323">
        <f>IF(ISNUMBER(VLOOKUP(F23,$AY$21:$BA$25,3,0)),VLOOKUP(F23,$AY$21:$BA$25,3,0),ROUNDUP((0.5*(1-0.1*$I$8/85)*B23/C23*(G23-140)/1000)/5,0)*5)</f>
        <v>205</v>
      </c>
      <c r="AL23" s="265">
        <f t="shared" si="11"/>
        <v>26.021210294068112</v>
      </c>
      <c r="AM23" s="265">
        <f>IF(ISNUMBER(VLOOKUP(F23,$AY$21:$BC$25,5,0)),VLOOKUP(F23,$AY$21:$BC$25,5,0),F23^2*BF23+F23*BG23+BH23)</f>
        <v>34.021210294068112</v>
      </c>
      <c r="AN23" s="270">
        <f>IF(ISNUMBER(VLOOKUP(F23,$AY$21:$BD$25,6,0)),VLOOKUP(F23,$AY$21:$BD$25,6,0),F23^2*BI23+F23*BJ23+BK23)</f>
        <v>4.8</v>
      </c>
      <c r="AO23" s="276">
        <f>IF(ISNUMBER(VLOOKUP(F23,$AY$21:$BE$25,7,0)),VLOOKUP(F23,$AY$21:$BE$25,7,0),F23^2*BL23+F23*BM23+BN23)</f>
        <v>50</v>
      </c>
      <c r="AR23" s="110"/>
      <c r="AW23">
        <v>710</v>
      </c>
      <c r="AY23">
        <v>60</v>
      </c>
      <c r="AZ23">
        <f t="shared" si="12"/>
        <v>3600</v>
      </c>
      <c r="BA23" s="214">
        <v>205</v>
      </c>
      <c r="BB23" s="194">
        <v>26.021210294068112</v>
      </c>
      <c r="BC23" s="195">
        <v>34.021210294068112</v>
      </c>
      <c r="BD23" s="201">
        <v>4.8</v>
      </c>
      <c r="BE23" s="206">
        <v>50</v>
      </c>
      <c r="BF23">
        <f t="shared" ref="BF23:BF25" si="41">BF22</f>
        <v>1.0455861161341236E-3</v>
      </c>
      <c r="BG23">
        <f t="shared" si="35"/>
        <v>0.24822337676301429</v>
      </c>
      <c r="BH23">
        <f t="shared" si="36"/>
        <v>15.081888124945664</v>
      </c>
      <c r="BI23">
        <f t="shared" ref="BI23:BI25" si="42">BI22</f>
        <v>2.8392857142857148E-3</v>
      </c>
      <c r="BJ23">
        <f t="shared" si="37"/>
        <v>-0.1772142857142858</v>
      </c>
      <c r="BK23">
        <f t="shared" si="38"/>
        <v>5.2200000000000042</v>
      </c>
      <c r="BL23">
        <f t="shared" ref="BL23:BL25" si="43">BL22</f>
        <v>2.3750000000000004E-2</v>
      </c>
      <c r="BM23">
        <f t="shared" si="39"/>
        <v>-1.5250000000000004</v>
      </c>
      <c r="BN23">
        <f t="shared" si="40"/>
        <v>56.600000000000009</v>
      </c>
      <c r="BP23" s="249">
        <f t="shared" si="18"/>
        <v>1.3754449722435579E-2</v>
      </c>
      <c r="BQ23" s="250">
        <f t="shared" si="32"/>
        <v>2.8196621930992936</v>
      </c>
      <c r="BR23" s="250">
        <f t="shared" si="6"/>
        <v>2.8196621930992936</v>
      </c>
      <c r="BS23" s="249">
        <f t="shared" si="33"/>
        <v>1.3754449722435579E-2</v>
      </c>
      <c r="BT23" s="251">
        <f t="shared" si="21"/>
        <v>0.85779654955286833</v>
      </c>
      <c r="BU23" s="101">
        <f t="shared" si="22"/>
        <v>17.400017116444211</v>
      </c>
    </row>
    <row r="24" spans="2:78" x14ac:dyDescent="0.3">
      <c r="B24" s="117">
        <f t="shared" si="34"/>
        <v>710</v>
      </c>
      <c r="C24" s="253">
        <v>1.49</v>
      </c>
      <c r="D24" s="410"/>
      <c r="E24" s="412"/>
      <c r="F24" s="259">
        <f>'Calculation Tool'!F24</f>
        <v>40</v>
      </c>
      <c r="G24" s="120">
        <f t="shared" si="8"/>
        <v>495</v>
      </c>
      <c r="H24" s="305">
        <f>VLOOKUP('Calculation Tool'!$O$2,'Limits and Glycol'!$D$2:$E$12,2,0)*I$8^Konstanten!$E$4*$B24*$G24^Konstanten!$F$4*I$7^Konstanten!$G$4*H$8^Konstanten!$H$4*(Konstanten!$C$4-I$7^Konstanten!$I$4*Konstanten!$D$4)</f>
        <v>1903.321817258209</v>
      </c>
      <c r="I24" s="287">
        <f>Konstanten!$C$23*(((($K$2+$K$3)*Konstanten!$I$23+$K$4)/(Konstanten!$I$23+2))^Konstanten!$D$23*$G24^Konstanten!$E$23*ABS($I$7)^Konstanten!$F$23+Konstanten!$H$23*($G24*$B24/C24)^Konstanten!$G$23)</f>
        <v>64.831000396749843</v>
      </c>
      <c r="J24" s="286">
        <f>3.6*H24/(I$7*Konstanten!$K$3)</f>
        <v>163.63928151753882</v>
      </c>
      <c r="K24" s="287">
        <f>'Limits and Glycol'!$M$8*0.0015976*J24^1.7732</f>
        <v>13.462740675992485</v>
      </c>
      <c r="L24" s="288">
        <f>VLOOKUP('Calculation Tool'!$O$2,'Limits and Glycol'!$D$2:$E$12,2,0)*I$8^Konstanten!$E$5*$B24*$G24^Konstanten!$F$5*I$7^Konstanten!$G$5*H$8^Konstanten!$H$5*(Konstanten!$C$5-I$7^Konstanten!$I$5*Konstanten!$D$5)</f>
        <v>1407.576303116525</v>
      </c>
      <c r="M24" s="287">
        <f>Konstanten!$C$24*(((($K$2+$K$3)*Konstanten!$I$24+$K$4)/(Konstanten!$I$24+2))^Konstanten!$D$24*$G24^Konstanten!$E$24*ABS($I$7)^Konstanten!$F$24+Konstanten!$H$24*($G24*$B24/C24)^Konstanten!$G$24)</f>
        <v>50.845742720612051</v>
      </c>
      <c r="N24" s="286">
        <f>3.6*L24/(I$7*Konstanten!$K$3)</f>
        <v>121.01725143617887</v>
      </c>
      <c r="O24" s="287">
        <f>'Limits and Glycol'!$M$8*0.00039605*N24^1.7088</f>
        <v>1.4352232400557672</v>
      </c>
      <c r="P24" s="257"/>
      <c r="Q24" s="257"/>
      <c r="R24" s="410"/>
      <c r="S24" s="259">
        <v>40</v>
      </c>
      <c r="T24" s="290">
        <f>IF(T$10="trocken",U24,IF(Konstanten!$A$18*(U$9^Konstanten!$B$18*U$8^Konstanten!$C$18*U24^Konstanten!$D$18*T$8^Konstanten!$E$18+U$7^Konstanten!$F$18)&lt;1,U24,U24*Konstanten!$A$18*(U$9^Konstanten!$B$18*U$8^Konstanten!$C$18*U24^Konstanten!$D$18*T$8^Konstanten!$E$18+U$7^Konstanten!$F$18)))</f>
        <v>388.49787468038511</v>
      </c>
      <c r="U24" s="290">
        <f>VLOOKUP('Calculation Tool'!$O$2,'Limits and Glycol'!$D$2:$E$12,2,0)*U$8^Konstanten!$E$6*$B24*$G24^Konstanten!$F$6*U$7^Konstanten!$G$6*T$8^Konstanten!$H$6*(Konstanten!$C$6-U$7^Konstanten!$I$6*Konstanten!$D$6)*(-0.00072478*G24 + 1.8694)</f>
        <v>388.49787468038511</v>
      </c>
      <c r="V24" s="287">
        <f t="shared" si="0"/>
        <v>18.222438813602743</v>
      </c>
      <c r="W24" s="286">
        <f>3.6*T24/(U$7*Konstanten!$K$3)</f>
        <v>167.00673661001943</v>
      </c>
      <c r="X24" s="287">
        <f>'Limits and Glycol'!$I$8*0.0015976*W24^1.7732</f>
        <v>13.957896143936738</v>
      </c>
      <c r="Y24" s="294">
        <f t="shared" si="25"/>
        <v>0</v>
      </c>
      <c r="Z24" s="281">
        <f t="shared" si="1"/>
        <v>90.87743013649974</v>
      </c>
      <c r="AA24" s="265">
        <f t="shared" si="2"/>
        <v>17.13095603159757</v>
      </c>
      <c r="AB24" s="289">
        <f>IF(T$10="trocken",AC24,IF(Konstanten!$A$18*(U$9^Konstanten!$B$18*U$8^Konstanten!$C$18*AC24^Konstanten!$D$18*T$8^Konstanten!$E$18+U$7^Konstanten!$F$18)&lt;1,AC24,AC24*Konstanten!$A$18*(U$9^Konstanten!$B$18*U$8^Konstanten!$C$18*AC24^Konstanten!$D$18*T$8^Konstanten!$E$18+U$7^Konstanten!$F$18)))</f>
        <v>368.9053330238076</v>
      </c>
      <c r="AC24" s="289">
        <f>VLOOKUP('Calculation Tool'!$O$2,'Limits and Glycol'!$D$2:$E$12,2,0)*U$8^Konstanten!$E$7*$B24*$G24^Konstanten!$F$7*U$7^Konstanten!$G$7*T$8^Konstanten!$H$7*(Konstanten!$C$7-U$7^Konstanten!$I$7*Konstanten!$D$7)*(-0.00072478*G24 + 1.8694)</f>
        <v>368.9053330238076</v>
      </c>
      <c r="AD24" s="287">
        <f t="shared" si="3"/>
        <v>18.690320405401607</v>
      </c>
      <c r="AE24" s="286">
        <f>3.6*AB24/(U$7*Konstanten!$K$3)</f>
        <v>158.58433160548037</v>
      </c>
      <c r="AF24" s="287">
        <f>'Limits and Glycol'!$I$8*0.0010784*AE24^1.7916</f>
        <v>9.4355276108478083</v>
      </c>
      <c r="AG24" s="294">
        <f t="shared" si="4"/>
        <v>0</v>
      </c>
      <c r="AH24" s="281">
        <f t="shared" si="9"/>
        <v>88.140025317366593</v>
      </c>
      <c r="AI24" s="265">
        <f t="shared" si="10"/>
        <v>17.272370732137553</v>
      </c>
      <c r="AJ24" s="127">
        <f t="shared" si="5"/>
        <v>80</v>
      </c>
      <c r="AK24" s="323">
        <f>IF(ISNUMBER(VLOOKUP(F24,$AY$21:$BA$25,3,0)),VLOOKUP(F24,$AY$21:$BA$25,3,0),ROUNDUP((0.5*(1-0.1*$I$8/85)*B24/C24*(G24-140)/1000)/5,0)*5)</f>
        <v>125</v>
      </c>
      <c r="AL24" s="265">
        <f t="shared" si="11"/>
        <v>16.793282511180166</v>
      </c>
      <c r="AM24" s="265">
        <f>IF(ISNUMBER(VLOOKUP(F24,$AY$21:$BC$25,5,0)),VLOOKUP(F24,$AY$21:$BC$25,5,0),F24^2*BF24+F24*BG24+BH24)</f>
        <v>24.793282511180166</v>
      </c>
      <c r="AN24" s="270">
        <f>IF(ISNUMBER(VLOOKUP(F24,$AY$21:$BD$25,6,0)),VLOOKUP(F24,$AY$21:$BD$25,6,0),F24^2*BI24+F24*BJ24+BK24)</f>
        <v>3.1</v>
      </c>
      <c r="AO24" s="276">
        <f>IF(ISNUMBER(VLOOKUP(F24,$AY$21:$BE$25,7,0)),VLOOKUP(F24,$AY$21:$BE$25,7,0),F24^2*BL24+F24*BM24+BN24)</f>
        <v>37</v>
      </c>
      <c r="AR24" s="110"/>
      <c r="AW24">
        <v>710</v>
      </c>
      <c r="AY24">
        <v>40</v>
      </c>
      <c r="AZ24">
        <f t="shared" si="12"/>
        <v>1600</v>
      </c>
      <c r="BA24" s="214">
        <v>125</v>
      </c>
      <c r="BB24" s="194">
        <v>16.793282511180166</v>
      </c>
      <c r="BC24" s="195">
        <v>24.793282511180166</v>
      </c>
      <c r="BD24" s="201">
        <v>3.1</v>
      </c>
      <c r="BE24" s="206">
        <v>37</v>
      </c>
      <c r="BF24">
        <f t="shared" si="41"/>
        <v>1.0455861161341236E-3</v>
      </c>
      <c r="BG24">
        <f t="shared" si="35"/>
        <v>0.24822337676301429</v>
      </c>
      <c r="BH24">
        <f t="shared" si="36"/>
        <v>15.081888124945664</v>
      </c>
      <c r="BI24">
        <f t="shared" si="42"/>
        <v>2.8392857142857148E-3</v>
      </c>
      <c r="BJ24">
        <f t="shared" si="37"/>
        <v>-0.1772142857142858</v>
      </c>
      <c r="BK24">
        <f t="shared" si="38"/>
        <v>5.2200000000000042</v>
      </c>
      <c r="BL24">
        <f t="shared" si="43"/>
        <v>2.3750000000000004E-2</v>
      </c>
      <c r="BM24">
        <f t="shared" si="39"/>
        <v>-1.5250000000000004</v>
      </c>
      <c r="BN24">
        <f t="shared" si="40"/>
        <v>56.600000000000009</v>
      </c>
      <c r="BP24" s="249">
        <f t="shared" si="18"/>
        <v>1.3754449722435579E-2</v>
      </c>
      <c r="BQ24" s="250">
        <f t="shared" si="32"/>
        <v>1.7193062153044474</v>
      </c>
      <c r="BR24" s="250">
        <f t="shared" si="6"/>
        <v>1.7193062153044474</v>
      </c>
      <c r="BS24" s="249">
        <f t="shared" si="33"/>
        <v>1.3754449722435579E-2</v>
      </c>
      <c r="BT24" s="251">
        <f t="shared" si="21"/>
        <v>0.88140025317366588</v>
      </c>
      <c r="BU24" s="101">
        <f t="shared" si="22"/>
        <v>17.272370732137553</v>
      </c>
    </row>
    <row r="25" spans="2:78" x14ac:dyDescent="0.3">
      <c r="B25" s="117">
        <f t="shared" si="34"/>
        <v>710</v>
      </c>
      <c r="C25" s="253">
        <v>1.66</v>
      </c>
      <c r="D25" s="413"/>
      <c r="E25" s="414"/>
      <c r="F25" s="260">
        <f>'Calculation Tool'!F25</f>
        <v>20</v>
      </c>
      <c r="G25" s="120">
        <f t="shared" si="8"/>
        <v>315</v>
      </c>
      <c r="H25" s="305">
        <f>VLOOKUP('Calculation Tool'!$O$2,'Limits and Glycol'!$D$2:$E$12,2,0)*I$8^Konstanten!$E$4*$B25*$G25^Konstanten!$F$4*I$7^Konstanten!$G$4*H$8^Konstanten!$H$4*(Konstanten!$C$4-I$7^Konstanten!$I$4*Konstanten!$D$4)</f>
        <v>1175.6637773712662</v>
      </c>
      <c r="I25" s="287">
        <f>Konstanten!$C$23*(((($K$2+$K$3)*Konstanten!$I$23+$K$4)/(Konstanten!$I$23+2))^Konstanten!$D$23*$G25^Konstanten!$E$23*ABS($I$7)^Konstanten!$F$23+Konstanten!$H$23*($G25*$B25/C25)^Konstanten!$G$23)</f>
        <v>68.406704404319171</v>
      </c>
      <c r="J25" s="282">
        <f>3.6*H25/(I$7*Konstanten!$K$3)</f>
        <v>101.07842724798144</v>
      </c>
      <c r="K25" s="287">
        <f>'Limits and Glycol'!$M$8*0.0015976*J25^1.7732</f>
        <v>5.7296548494885897</v>
      </c>
      <c r="L25" s="288">
        <f>VLOOKUP('Calculation Tool'!$O$2,'Limits and Glycol'!$D$2:$E$12,2,0)*I$8^Konstanten!$E$5*$B25*$G25^Konstanten!$F$5*I$7^Konstanten!$G$5*H$8^Konstanten!$H$5*(Konstanten!$C$5-I$7^Konstanten!$I$5*Konstanten!$D$5)</f>
        <v>993.6481201157502</v>
      </c>
      <c r="M25" s="287">
        <f>Konstanten!$C$24*(((($K$2+$K$3)*Konstanten!$I$24+$K$4)/(Konstanten!$I$24+2))^Konstanten!$D$24*$G25^Konstanten!$E$24*ABS($I$7)^Konstanten!$F$24+Konstanten!$H$24*($G25*$B25/C25)^Konstanten!$G$24)</f>
        <v>58.00311973515138</v>
      </c>
      <c r="N25" s="282">
        <f>3.6*L25/(I$7*Konstanten!$K$3)</f>
        <v>85.429517479720971</v>
      </c>
      <c r="O25" s="287">
        <f>'Limits and Glycol'!$M$8*0.00039605*N25^1.7088</f>
        <v>0.79155607873389011</v>
      </c>
      <c r="P25" s="257"/>
      <c r="Q25" s="257"/>
      <c r="R25" s="413"/>
      <c r="S25" s="260">
        <v>20</v>
      </c>
      <c r="T25" s="292">
        <f>IF(T$10="trocken",U25,IF(Konstanten!$A$18*(U$9^Konstanten!$B$18*U$8^Konstanten!$C$18*U25^Konstanten!$D$18*T$8^Konstanten!$E$18+U$7^Konstanten!$F$18)&lt;1,U25,U25*Konstanten!$A$18*(U$9^Konstanten!$B$18*U$8^Konstanten!$C$18*U25^Konstanten!$D$18*T$8^Konstanten!$E$18+U$7^Konstanten!$F$18)))</f>
        <v>217.97224149031135</v>
      </c>
      <c r="U25" s="292">
        <f>VLOOKUP('Calculation Tool'!$O$2,'Limits and Glycol'!$D$2:$E$12,2,0)*U$8^Konstanten!$E$6*$B25*$G25^Konstanten!$F$6*U$7^Konstanten!$G$6*T$8^Konstanten!$H$6*(Konstanten!$C$6-U$7^Konstanten!$I$6*Konstanten!$D$6)*(-0.00072478*G25 + 1.8694)</f>
        <v>217.97224149031135</v>
      </c>
      <c r="V25" s="284">
        <f t="shared" si="0"/>
        <v>16.655609876103913</v>
      </c>
      <c r="W25" s="282">
        <f>3.6*T25/(U$7*Konstanten!$K$3)</f>
        <v>93.7014977310143</v>
      </c>
      <c r="X25" s="284">
        <f>'Limits and Glycol'!$I$8*0.0015976*W25^1.7732</f>
        <v>5.0092072872480999</v>
      </c>
      <c r="Y25" s="295">
        <f t="shared" si="25"/>
        <v>0</v>
      </c>
      <c r="Z25" s="282">
        <f t="shared" si="1"/>
        <v>100.71476912126219</v>
      </c>
      <c r="AA25" s="284">
        <f t="shared" si="2"/>
        <v>16.673814402414493</v>
      </c>
      <c r="AB25" s="291">
        <f>IF(T$10="trocken",AC25,IF(Konstanten!$A$18*(U$9^Konstanten!$B$18*U$8^Konstanten!$C$18*AC25^Konstanten!$D$18*T$8^Konstanten!$E$18+U$7^Konstanten!$F$18)&lt;1,AC25,AC25*Konstanten!$A$18*(U$9^Konstanten!$B$18*U$8^Konstanten!$C$18*AC25^Konstanten!$D$18*T$8^Konstanten!$E$18+U$7^Konstanten!$F$18)))</f>
        <v>209.17585141130135</v>
      </c>
      <c r="AC25" s="291">
        <f>VLOOKUP('Calculation Tool'!$O$2,'Limits and Glycol'!$D$2:$E$12,2,0)*U$8^Konstanten!$E$7*$B25*$G25^Konstanten!$F$7*U$7^Konstanten!$G$7*T$8^Konstanten!$H$7*(Konstanten!$C$7-U$7^Konstanten!$I$7*Konstanten!$D$7)*(-0.00072478*G25 + 1.8694)</f>
        <v>209.17585141130135</v>
      </c>
      <c r="AD25" s="284">
        <f t="shared" si="3"/>
        <v>17.093241223318341</v>
      </c>
      <c r="AE25" s="282">
        <f>3.6*AB25/(U$7*Konstanten!$K$3)</f>
        <v>89.920122087060534</v>
      </c>
      <c r="AF25" s="284">
        <f>'Limits and Glycol'!$I$8*0.0010784*AE25^1.7916</f>
        <v>3.4143644781108575</v>
      </c>
      <c r="AG25" s="295">
        <f t="shared" si="4"/>
        <v>0</v>
      </c>
      <c r="AH25" s="282">
        <f t="shared" si="9"/>
        <v>97.859121580937952</v>
      </c>
      <c r="AI25" s="284">
        <f t="shared" si="10"/>
        <v>16.799006897602318</v>
      </c>
      <c r="AJ25" s="254">
        <f t="shared" si="5"/>
        <v>40</v>
      </c>
      <c r="AK25" s="323">
        <f>IF(ISNUMBER(VLOOKUP(F25,$AY$21:$BA$25,3,0)),VLOOKUP(F25,$AY$21:$BA$25,3,0),ROUNDUP((0.5*(1-0.1*$I$8/85)*B25/C25*(G25-140)/1000)/5,0)*5)</f>
        <v>60</v>
      </c>
      <c r="AL25" s="266">
        <f t="shared" si="11"/>
        <v>13.362861084166816</v>
      </c>
      <c r="AM25" s="266">
        <f>IF(ISNUMBER(VLOOKUP(F25,$AY$21:$BC$25,5,0)),VLOOKUP(F25,$AY$21:$BC$25,5,0),F25^2*BF25+F25*BG25+BH25)</f>
        <v>21.362861084166816</v>
      </c>
      <c r="AN25" s="272">
        <f>IF(ISNUMBER(VLOOKUP(F25,$AY$21:$BD$25,6,0)),VLOOKUP(F25,$AY$21:$BD$25,6,0),F25^2*BI25+F25*BJ25+BK25)</f>
        <v>2.6</v>
      </c>
      <c r="AO25" s="278">
        <f>IF(ISNUMBER(VLOOKUP(F25,$AY$21:$BE$25,7,0)),VLOOKUP(F25,$AY$21:$BE$25,7,0),F25^2*BL25+F25*BM25+BN25)</f>
        <v>34</v>
      </c>
      <c r="AR25" s="110"/>
      <c r="AW25">
        <v>760</v>
      </c>
      <c r="AY25">
        <v>20</v>
      </c>
      <c r="AZ25">
        <f t="shared" si="12"/>
        <v>400</v>
      </c>
      <c r="BA25" s="215">
        <v>60</v>
      </c>
      <c r="BB25" s="196">
        <v>13.362861084166816</v>
      </c>
      <c r="BC25" s="197">
        <v>21.362861084166816</v>
      </c>
      <c r="BD25" s="202">
        <v>2.6</v>
      </c>
      <c r="BE25" s="208">
        <v>34</v>
      </c>
      <c r="BF25">
        <f t="shared" si="41"/>
        <v>1.0455861161341236E-3</v>
      </c>
      <c r="BG25">
        <f t="shared" si="35"/>
        <v>0.24822337676301429</v>
      </c>
      <c r="BH25">
        <f t="shared" si="36"/>
        <v>15.081888124945664</v>
      </c>
      <c r="BI25">
        <f t="shared" si="42"/>
        <v>2.8392857142857148E-3</v>
      </c>
      <c r="BJ25">
        <f t="shared" si="37"/>
        <v>-0.1772142857142858</v>
      </c>
      <c r="BK25">
        <f t="shared" si="38"/>
        <v>5.2200000000000042</v>
      </c>
      <c r="BL25">
        <f t="shared" si="43"/>
        <v>2.3750000000000004E-2</v>
      </c>
      <c r="BM25">
        <f t="shared" si="39"/>
        <v>-1.5250000000000004</v>
      </c>
      <c r="BN25">
        <f t="shared" si="40"/>
        <v>56.600000000000009</v>
      </c>
      <c r="BP25" s="249">
        <f t="shared" si="18"/>
        <v>1.3754449722435579E-2</v>
      </c>
      <c r="BQ25" s="250">
        <f t="shared" si="32"/>
        <v>0.82526698334613469</v>
      </c>
      <c r="BR25" s="250">
        <f t="shared" si="6"/>
        <v>0.82526698334613469</v>
      </c>
      <c r="BS25" s="249">
        <f t="shared" si="33"/>
        <v>1.3754449722435579E-2</v>
      </c>
      <c r="BT25" s="251">
        <f t="shared" si="21"/>
        <v>0.97859121580937958</v>
      </c>
      <c r="BU25" s="101">
        <f t="shared" si="22"/>
        <v>16.799006897602318</v>
      </c>
    </row>
    <row r="26" spans="2:78" x14ac:dyDescent="0.3">
      <c r="B26" s="117">
        <f>IF(ISNUMBER(VLOOKUP($E$26,$AV$16:$AW$41,2,0)),VLOOKUP($E$26,$AV$16:$AW$41,2,0),$E$26*(1+$AX$14))</f>
        <v>1130</v>
      </c>
      <c r="C26" s="253">
        <v>1</v>
      </c>
      <c r="D26" s="409">
        <v>1700</v>
      </c>
      <c r="E26" s="411">
        <v>1010</v>
      </c>
      <c r="F26" s="259">
        <f>'Calculation Tool'!F26</f>
        <v>100</v>
      </c>
      <c r="G26" s="120">
        <f t="shared" si="8"/>
        <v>1205</v>
      </c>
      <c r="H26" s="305">
        <f>VLOOKUP('Calculation Tool'!$O$2,'Limits and Glycol'!$D$2:$E$12,2,0)*I$8^Konstanten!$E$4*$B26*$G26^Konstanten!$F$4*I$7^Konstanten!$G$4*H$8^Konstanten!$H$4*(Konstanten!$C$4-I$7^Konstanten!$I$4*Konstanten!$D$4)</f>
        <v>7819.4107619569813</v>
      </c>
      <c r="I26" s="285">
        <f>Konstanten!$C$23*(((($K$2+$K$3)*Konstanten!$I$23+$K$4)/(Konstanten!$I$23+2))^Konstanten!$D$23*$G26^Konstanten!$E$23*ABS($I$7)^Konstanten!$F$23+Konstanten!$H$23*($G26*$B26/C26)^Konstanten!$G$23)</f>
        <v>58.589380306287303</v>
      </c>
      <c r="J26" s="286">
        <f>3.6*H26/(I$7*Konstanten!$K$3)</f>
        <v>672.27872206099073</v>
      </c>
      <c r="K26" s="285">
        <f>'Limits and Glycol'!$M$8*0.00032601*J26^1.7733</f>
        <v>33.676287789219927</v>
      </c>
      <c r="L26" s="288">
        <f>VLOOKUP('Calculation Tool'!$O$2,'Limits and Glycol'!$D$2:$E$12,2,0)*I$8^Konstanten!$E$5*$B26*$G26^Konstanten!$F$5*I$7^Konstanten!$G$5*H$8^Konstanten!$H$5*(Konstanten!$C$5-I$7^Konstanten!$I$5*Konstanten!$D$5)</f>
        <v>4446.190335499884</v>
      </c>
      <c r="M26" s="285">
        <f>Konstanten!$C$24*(((($K$2+$K$3)*Konstanten!$I$24+$K$4)/(Konstanten!$I$24+2))^Konstanten!$D$24*$G26^Konstanten!$E$24*ABS($I$7)^Konstanten!$F$24+Konstanten!$H$24*($G26*$B26/C26)^Konstanten!$G$24)</f>
        <v>41.895895481191488</v>
      </c>
      <c r="N26" s="286">
        <f>3.6*L26/(I$7*Konstanten!$K$3)</f>
        <v>382.2639899328816</v>
      </c>
      <c r="O26" s="285">
        <f>'Limits and Glycol'!$M$8*0.00054927*N26^1.7275</f>
        <v>15.878834894989371</v>
      </c>
      <c r="P26" s="257"/>
      <c r="Q26" s="257"/>
      <c r="R26" s="409">
        <v>1700</v>
      </c>
      <c r="S26" s="259">
        <v>100</v>
      </c>
      <c r="T26" s="290">
        <f>IF(T$10="trocken",U26,IF(Konstanten!$A$18*(U$9^Konstanten!$B$18*U$8^Konstanten!$C$18*U26^Konstanten!$D$18*T$8^Konstanten!$E$18+U$7^Konstanten!$F$18)&lt;1,U26,U26*Konstanten!$A$18*(U$9^Konstanten!$B$18*U$8^Konstanten!$C$18*U26^Konstanten!$D$18*T$8^Konstanten!$E$18+U$7^Konstanten!$F$18)))</f>
        <v>1496.8395775933627</v>
      </c>
      <c r="U26" s="290">
        <f>VLOOKUP('Calculation Tool'!$O$2,'Limits and Glycol'!$D$2:$E$12,2,0)*U$8^Konstanten!$E$6*$B26*$G26^Konstanten!$F$6*U$7^Konstanten!$G$6*T$8^Konstanten!$H$6*(Konstanten!$C$6-U$7^Konstanten!$I$6*Konstanten!$D$6)*(-0.00072478*G26 + 1.8694)</f>
        <v>1496.8395775933627</v>
      </c>
      <c r="V26" s="287">
        <f t="shared" si="0"/>
        <v>19.862089156303803</v>
      </c>
      <c r="W26" s="286">
        <f>3.6*T26/(U$7*Konstanten!$K$3)</f>
        <v>643.45858594013282</v>
      </c>
      <c r="X26" s="287">
        <f>'Limits and Glycol'!$I$8*0.00032601*W26^1.7733</f>
        <v>31.158784112793679</v>
      </c>
      <c r="Y26" s="294">
        <f t="shared" si="25"/>
        <v>0</v>
      </c>
      <c r="Z26" s="283">
        <f t="shared" si="1"/>
        <v>81.658352099050163</v>
      </c>
      <c r="AA26" s="285">
        <f t="shared" si="2"/>
        <v>17.636776972933205</v>
      </c>
      <c r="AB26" s="289">
        <f>IF(T$10="trocken",AC26,IF(Konstanten!$A$18*(U$9^Konstanten!$B$18*U$8^Konstanten!$C$18*AC26^Konstanten!$D$18*T$8^Konstanten!$E$18+U$7^Konstanten!$F$18)&lt;1,AC26,AC26*Konstanten!$A$18*(U$9^Konstanten!$B$18*U$8^Konstanten!$C$18*AC26^Konstanten!$D$18*T$8^Konstanten!$E$18+U$7^Konstanten!$F$18)))</f>
        <v>1392.1254361257011</v>
      </c>
      <c r="AC26" s="289">
        <f>VLOOKUP('Calculation Tool'!$O$2,'Limits and Glycol'!$D$2:$E$12,2,0)*U$8^Konstanten!$E$7*$B26*$G26^Konstanten!$F$7*U$7^Konstanten!$G$7*T$8^Konstanten!$H$7*(Konstanten!$C$7-U$7^Konstanten!$I$7*Konstanten!$D$7)*(-0.00072478*G26 + 1.8694)</f>
        <v>1392.1254361257011</v>
      </c>
      <c r="AD26" s="287">
        <f t="shared" si="3"/>
        <v>20.396413133686945</v>
      </c>
      <c r="AE26" s="286">
        <f>3.6*AB26/(U$7*Konstanten!$K$3)</f>
        <v>598.44426750191394</v>
      </c>
      <c r="AF26" s="287">
        <f>'Limits and Glycol'!$I$8*0.00023414*AE26^1.7777</f>
        <v>20.239075265564086</v>
      </c>
      <c r="AG26" s="294">
        <f t="shared" si="4"/>
        <v>0</v>
      </c>
      <c r="AH26" s="283">
        <f t="shared" si="9"/>
        <v>78.871120569847804</v>
      </c>
      <c r="AI26" s="285">
        <f t="shared" si="10"/>
        <v>17.807888825609325</v>
      </c>
      <c r="AJ26" s="127">
        <f t="shared" si="5"/>
        <v>570</v>
      </c>
      <c r="AK26" s="324">
        <f>IF(ISNUMBER(VLOOKUP(F26,$AY$26:$BA$30,3,0)),VLOOKUP(F26,$AY$26:$BA$30,3,0),ROUNDUP((0.5*(1-0.1*$I$8/85)*B26/C26*(G26-140)/1000)/5,0)*5)</f>
        <v>585</v>
      </c>
      <c r="AL26" s="265">
        <f t="shared" si="11"/>
        <v>43.815405658279268</v>
      </c>
      <c r="AM26" s="265">
        <f>IF(ISNUMBER(VLOOKUP(F26,$AY$26:$BC$30,5,0)),VLOOKUP(F26,$AY$26:$BC$30,5,0),F26^2*BF26+F26*BG26+BH26)</f>
        <v>51.815405658279268</v>
      </c>
      <c r="AN26" s="273">
        <f>IF(ISNUMBER(VLOOKUP(F26,$AY$26:$BD$30,6,0)),VLOOKUP(F26,$AY$26:$BD$30,6,0),F26^2*BI26+F26*BJ26+BK26)</f>
        <v>24.4</v>
      </c>
      <c r="AO26" s="279">
        <f>IF(ISNUMBER(VLOOKUP(F26,$AY$26:$BE$30,7,0)),VLOOKUP(F26,$AY$26:$BE$30,7,0),F26^2*BL26+F26*BM26+BN26)</f>
        <v>218</v>
      </c>
      <c r="AR26" s="110"/>
      <c r="AV26" s="109">
        <f>380+630</f>
        <v>1010</v>
      </c>
      <c r="AW26">
        <v>1130</v>
      </c>
      <c r="AX26">
        <f t="shared" si="31"/>
        <v>0.11881188118811881</v>
      </c>
      <c r="AY26">
        <v>100</v>
      </c>
      <c r="AZ26">
        <f t="shared" si="12"/>
        <v>10000</v>
      </c>
      <c r="BA26" s="214">
        <v>585</v>
      </c>
      <c r="BB26" s="194">
        <v>43.815405658279268</v>
      </c>
      <c r="BC26" s="195">
        <v>51.815405658279268</v>
      </c>
      <c r="BD26" s="204">
        <v>24.4</v>
      </c>
      <c r="BE26" s="209">
        <v>218</v>
      </c>
      <c r="BF26">
        <f t="array" ref="BF26:BH26">LINEST(BC26:BC30,AY26:AZ30)</f>
        <v>1.0455861161341273E-3</v>
      </c>
      <c r="BG26">
        <v>0.24822337676301398</v>
      </c>
      <c r="BH26">
        <v>17.341541283057559</v>
      </c>
      <c r="BI26">
        <f t="array" ref="BI26:BK26">LINEST(BD26:BD30,AY26:AZ30)</f>
        <v>4.2499999999999986E-3</v>
      </c>
      <c r="BJ26">
        <v>-0.2619999999999999</v>
      </c>
      <c r="BK26">
        <v>7.7799999999999976</v>
      </c>
      <c r="BL26">
        <f t="array" ref="BL26:BN26">LINEST(BE26:BE30,AY26:AZ30)</f>
        <v>3.6250000000000004E-2</v>
      </c>
      <c r="BM26">
        <v>-2.3250000000000011</v>
      </c>
      <c r="BN26">
        <v>85.600000000000023</v>
      </c>
      <c r="BP26" s="249">
        <f t="shared" si="18"/>
        <v>1.3754449722435579E-2</v>
      </c>
      <c r="BQ26" s="250">
        <f t="shared" si="32"/>
        <v>8.0463530876248139</v>
      </c>
      <c r="BR26" s="250">
        <f t="shared" si="6"/>
        <v>8.0463530876248139</v>
      </c>
      <c r="BS26" s="249">
        <f t="shared" si="33"/>
        <v>1.3754449722435579E-2</v>
      </c>
      <c r="BT26" s="251">
        <f t="shared" si="21"/>
        <v>0.78871120569847808</v>
      </c>
      <c r="BU26" s="101">
        <f t="shared" si="22"/>
        <v>17.807888825609325</v>
      </c>
    </row>
    <row r="27" spans="2:78" x14ac:dyDescent="0.3">
      <c r="B27" s="117">
        <f t="shared" ref="B27:B30" si="44">IF(ISNUMBER(VLOOKUP($E$26,$AV$16:$AW$41,2,0)),VLOOKUP($E$26,$AV$16:$AW$41,2,0),$E$26*(1+$AX$14))</f>
        <v>1130</v>
      </c>
      <c r="C27" s="253">
        <v>1.1599999999999999</v>
      </c>
      <c r="D27" s="410"/>
      <c r="E27" s="412"/>
      <c r="F27" s="259">
        <f>'Calculation Tool'!F27</f>
        <v>80</v>
      </c>
      <c r="G27" s="120">
        <f t="shared" si="8"/>
        <v>985</v>
      </c>
      <c r="H27" s="305">
        <f>VLOOKUP('Calculation Tool'!$O$2,'Limits and Glycol'!$D$2:$E$12,2,0)*I$8^Konstanten!$E$4*$B27*$G27^Konstanten!$F$4*I$7^Konstanten!$G$4*H$8^Konstanten!$H$4*(Konstanten!$C$4-I$7^Konstanten!$I$4*Konstanten!$D$4)</f>
        <v>6307.4559375885638</v>
      </c>
      <c r="I27" s="287">
        <f>Konstanten!$C$23*(((($K$2+$K$3)*Konstanten!$I$23+$K$4)/(Konstanten!$I$23+2))^Konstanten!$D$23*$G27^Konstanten!$E$23*ABS($I$7)^Konstanten!$F$23+Konstanten!$H$23*($G27*$B27/C27)^Konstanten!$G$23)</f>
        <v>59.944162279646228</v>
      </c>
      <c r="J27" s="286">
        <f>3.6*H27/(I$7*Konstanten!$K$3)</f>
        <v>542.28746209475264</v>
      </c>
      <c r="K27" s="287">
        <f>'Limits and Glycol'!$M$8*0.00032601*J27^1.7733</f>
        <v>23.00595186098694</v>
      </c>
      <c r="L27" s="288">
        <f>VLOOKUP('Calculation Tool'!$O$2,'Limits and Glycol'!$D$2:$E$12,2,0)*I$8^Konstanten!$E$5*$B27*$G27^Konstanten!$F$5*I$7^Konstanten!$G$5*H$8^Konstanten!$H$5*(Konstanten!$C$5-I$7^Konstanten!$I$5*Konstanten!$D$5)</f>
        <v>3806.5600491772179</v>
      </c>
      <c r="M27" s="287">
        <f>Konstanten!$C$24*(((($K$2+$K$3)*Konstanten!$I$24+$K$4)/(Konstanten!$I$24+2))^Konstanten!$D$24*$G27^Konstanten!$E$24*ABS($I$7)^Konstanten!$F$24+Konstanten!$H$24*($G27*$B27/C27)^Konstanten!$G$24)</f>
        <v>43.575018103329839</v>
      </c>
      <c r="N27" s="286">
        <f>3.6*L27/(I$7*Konstanten!$K$3)</f>
        <v>327.27137673335602</v>
      </c>
      <c r="O27" s="287">
        <f>'Limits and Glycol'!$M$8*0.00054927*N27^1.7275</f>
        <v>12.141979348163485</v>
      </c>
      <c r="P27" s="257"/>
      <c r="Q27" s="257"/>
      <c r="R27" s="410"/>
      <c r="S27" s="259">
        <v>80</v>
      </c>
      <c r="T27" s="290">
        <f>IF(T$10="trocken",U27,IF(Konstanten!$A$18*(U$9^Konstanten!$B$18*U$8^Konstanten!$C$18*U27^Konstanten!$D$18*T$8^Konstanten!$E$18+U$7^Konstanten!$F$18)&lt;1,U27,U27*Konstanten!$A$18*(U$9^Konstanten!$B$18*U$8^Konstanten!$C$18*U27^Konstanten!$D$18*T$8^Konstanten!$E$18+U$7^Konstanten!$F$18)))</f>
        <v>1293.2287147733255</v>
      </c>
      <c r="U27" s="290">
        <f>VLOOKUP('Calculation Tool'!$O$2,'Limits and Glycol'!$D$2:$E$12,2,0)*U$8^Konstanten!$E$6*$B27*$G27^Konstanten!$F$6*U$7^Konstanten!$G$6*T$8^Konstanten!$H$6*(Konstanten!$C$6-U$7^Konstanten!$I$6*Konstanten!$D$6)*(-0.00072478*G27 + 1.8694)</f>
        <v>1293.2287147733255</v>
      </c>
      <c r="V27" s="287">
        <f t="shared" si="0"/>
        <v>19.198098444722675</v>
      </c>
      <c r="W27" s="286">
        <f>3.6*T27/(U$7*Konstanten!$K$3)</f>
        <v>555.93073069536479</v>
      </c>
      <c r="X27" s="287">
        <f>'Limits and Glycol'!$I$8*0.00032601*W27^1.7733</f>
        <v>24.042304676700002</v>
      </c>
      <c r="Y27" s="294">
        <f t="shared" si="25"/>
        <v>0</v>
      </c>
      <c r="Z27" s="281">
        <f t="shared" si="1"/>
        <v>85.267149395364555</v>
      </c>
      <c r="AA27" s="265">
        <f t="shared" si="2"/>
        <v>17.428470665482102</v>
      </c>
      <c r="AB27" s="289">
        <f>IF(T$10="trocken",AC27,IF(Konstanten!$A$18*(U$9^Konstanten!$B$18*U$8^Konstanten!$C$18*AC27^Konstanten!$D$18*T$8^Konstanten!$E$18+U$7^Konstanten!$F$18)&lt;1,AC27,AC27*Konstanten!$A$18*(U$9^Konstanten!$B$18*U$8^Konstanten!$C$18*AC27^Konstanten!$D$18*T$8^Konstanten!$E$18+U$7^Konstanten!$F$18)))</f>
        <v>1208.4342459963013</v>
      </c>
      <c r="AC27" s="289">
        <f>VLOOKUP('Calculation Tool'!$O$2,'Limits and Glycol'!$D$2:$E$12,2,0)*U$8^Konstanten!$E$7*$B27*$G27^Konstanten!$F$7*U$7^Konstanten!$G$7*T$8^Konstanten!$H$7*(Konstanten!$C$7-U$7^Konstanten!$I$7*Konstanten!$D$7)*(-0.00072478*G27 + 1.8694)</f>
        <v>1208.4342459963013</v>
      </c>
      <c r="AD27" s="287">
        <f t="shared" si="3"/>
        <v>19.742437836647078</v>
      </c>
      <c r="AE27" s="286">
        <f>3.6*AB27/(U$7*Konstanten!$K$3)</f>
        <v>519.4794437361212</v>
      </c>
      <c r="AF27" s="287">
        <f>'Limits and Glycol'!$I$8*0.00023414*AE27^1.7777</f>
        <v>15.737708602468262</v>
      </c>
      <c r="AG27" s="294">
        <f t="shared" si="4"/>
        <v>0</v>
      </c>
      <c r="AH27" s="281">
        <f t="shared" si="9"/>
        <v>82.296588286146303</v>
      </c>
      <c r="AI27" s="265">
        <f t="shared" si="10"/>
        <v>17.598887127961643</v>
      </c>
      <c r="AJ27" s="127">
        <f t="shared" si="5"/>
        <v>390</v>
      </c>
      <c r="AK27" s="323">
        <f>IF(ISNUMBER(VLOOKUP(F27,$AY$26:$BA$30,3,0)),VLOOKUP(F27,$AY$26:$BA$30,3,0),ROUNDUP((0.5*(1-0.1*$I$8/85)*B27/C27*(G27-140)/1000)/5,0)*5)</f>
        <v>465</v>
      </c>
      <c r="AL27" s="265">
        <f t="shared" si="11"/>
        <v>37.405894977112773</v>
      </c>
      <c r="AM27" s="265">
        <f>IF(ISNUMBER(VLOOKUP(F27,$AY$26:$BC$30,5,0)),VLOOKUP(F27,$AY$26:$BC$30,5,0),F27^2*BF27+F27*BG27+BH27)</f>
        <v>45.405894977112773</v>
      </c>
      <c r="AN27" s="270">
        <f>IF(ISNUMBER(VLOOKUP(F27,$AY$26:$BD$30,6,0)),VLOOKUP(F27,$AY$26:$BD$30,6,0),F27^2*BI27+F27*BJ27+BK27)</f>
        <v>13.4</v>
      </c>
      <c r="AO27" s="276">
        <f>IF(ISNUMBER(VLOOKUP(F27,$AY$26:$BE$30,7,0)),VLOOKUP(F27,$AY$26:$BE$30,7,0),F27^2*BL27+F27*BM27+BN27)</f>
        <v>127</v>
      </c>
      <c r="AR27" s="110"/>
      <c r="AW27"/>
      <c r="AY27">
        <v>80</v>
      </c>
      <c r="AZ27">
        <f t="shared" si="12"/>
        <v>6400</v>
      </c>
      <c r="BA27" s="214">
        <v>465</v>
      </c>
      <c r="BB27" s="194">
        <v>37.405894977112773</v>
      </c>
      <c r="BC27" s="195">
        <v>45.405894977112773</v>
      </c>
      <c r="BD27" s="201">
        <v>13.4</v>
      </c>
      <c r="BE27" s="206">
        <v>127</v>
      </c>
      <c r="BF27">
        <f>BF26</f>
        <v>1.0455861161341273E-3</v>
      </c>
      <c r="BG27">
        <f t="shared" ref="BG27:BG30" si="45">BG26</f>
        <v>0.24822337676301398</v>
      </c>
      <c r="BH27">
        <f t="shared" ref="BH27:BH30" si="46">BH26</f>
        <v>17.341541283057559</v>
      </c>
      <c r="BI27">
        <f>BI26</f>
        <v>4.2499999999999986E-3</v>
      </c>
      <c r="BJ27">
        <f t="shared" ref="BJ27:BJ30" si="47">BJ26</f>
        <v>-0.2619999999999999</v>
      </c>
      <c r="BK27">
        <f t="shared" ref="BK27:BK30" si="48">BK26</f>
        <v>7.7799999999999976</v>
      </c>
      <c r="BL27">
        <f>BL26</f>
        <v>3.6250000000000004E-2</v>
      </c>
      <c r="BM27">
        <f t="shared" ref="BM27:BM30" si="49">BM26</f>
        <v>-2.3250000000000011</v>
      </c>
      <c r="BN27">
        <f t="shared" ref="BN27:BN30" si="50">BN26</f>
        <v>85.600000000000023</v>
      </c>
      <c r="BP27" s="249">
        <f t="shared" si="18"/>
        <v>1.3754449722435579E-2</v>
      </c>
      <c r="BQ27" s="250">
        <f t="shared" si="32"/>
        <v>6.3958191209325443</v>
      </c>
      <c r="BR27" s="250">
        <f t="shared" si="6"/>
        <v>6.3958191209325443</v>
      </c>
      <c r="BS27" s="249">
        <f t="shared" si="33"/>
        <v>1.3754449722435579E-2</v>
      </c>
      <c r="BT27" s="251">
        <f t="shared" si="21"/>
        <v>0.82296588286146299</v>
      </c>
      <c r="BU27" s="101">
        <f t="shared" si="22"/>
        <v>17.598887127961639</v>
      </c>
    </row>
    <row r="28" spans="2:78" x14ac:dyDescent="0.3">
      <c r="B28" s="117">
        <f t="shared" si="44"/>
        <v>1130</v>
      </c>
      <c r="C28" s="253">
        <v>1.33</v>
      </c>
      <c r="D28" s="410"/>
      <c r="E28" s="412"/>
      <c r="F28" s="259">
        <f>'Calculation Tool'!F28</f>
        <v>60</v>
      </c>
      <c r="G28" s="120">
        <f t="shared" si="8"/>
        <v>735</v>
      </c>
      <c r="H28" s="305">
        <f>VLOOKUP('Calculation Tool'!$O$2,'Limits and Glycol'!$D$2:$E$12,2,0)*I$8^Konstanten!$E$4*$B28*$G28^Konstanten!$F$4*I$7^Konstanten!$G$4*H$8^Konstanten!$H$4*(Konstanten!$C$4-I$7^Konstanten!$I$4*Konstanten!$D$4)</f>
        <v>4616.6517133529442</v>
      </c>
      <c r="I28" s="287">
        <f>Konstanten!$C$23*(((($K$2+$K$3)*Konstanten!$I$23+$K$4)/(Konstanten!$I$23+2))^Konstanten!$D$23*$G28^Konstanten!$E$23*ABS($I$7)^Konstanten!$F$23+Konstanten!$H$23*($G28*$B28/C28)^Konstanten!$G$23)</f>
        <v>62.005294405126953</v>
      </c>
      <c r="J28" s="286">
        <f>3.6*H28/(I$7*Konstanten!$K$3)</f>
        <v>396.91951331596709</v>
      </c>
      <c r="K28" s="287">
        <f>'Limits and Glycol'!$M$8*0.00032601*J28^1.7733</f>
        <v>13.22848096303856</v>
      </c>
      <c r="L28" s="288">
        <f>VLOOKUP('Calculation Tool'!$O$2,'Limits and Glycol'!$D$2:$E$12,2,0)*I$8^Konstanten!$E$5*$B28*$G28^Konstanten!$F$5*I$7^Konstanten!$G$5*H$8^Konstanten!$H$5*(Konstanten!$C$5-I$7^Konstanten!$I$5*Konstanten!$D$5)</f>
        <v>3037.8627717190866</v>
      </c>
      <c r="M28" s="287">
        <f>Konstanten!$C$24*(((($K$2+$K$3)*Konstanten!$I$24+$K$4)/(Konstanten!$I$24+2))^Konstanten!$D$24*$G28^Konstanten!$E$24*ABS($I$7)^Konstanten!$F$24+Konstanten!$H$24*($G28*$B28/C28)^Konstanten!$G$24)</f>
        <v>46.584922143769582</v>
      </c>
      <c r="N28" s="286">
        <f>3.6*L28/(I$7*Konstanten!$K$3)</f>
        <v>261.18214839206604</v>
      </c>
      <c r="O28" s="287">
        <f>'Limits and Glycol'!$M$8*0.00054927*N28^1.7275</f>
        <v>8.223482228384718</v>
      </c>
      <c r="P28" s="257"/>
      <c r="Q28" s="257"/>
      <c r="R28" s="410"/>
      <c r="S28" s="259">
        <v>60</v>
      </c>
      <c r="T28" s="290">
        <f>IF(T$10="trocken",U28,IF(Konstanten!$A$18*(U$9^Konstanten!$B$18*U$8^Konstanten!$C$18*U28^Konstanten!$D$18*T$8^Konstanten!$E$18+U$7^Konstanten!$F$18)&lt;1,U28,U28*Konstanten!$A$18*(U$9^Konstanten!$B$18*U$8^Konstanten!$C$18*U28^Konstanten!$D$18*T$8^Konstanten!$E$18+U$7^Konstanten!$F$18)))</f>
        <v>975.12448464448983</v>
      </c>
      <c r="U28" s="290">
        <f>VLOOKUP('Calculation Tool'!$O$2,'Limits and Glycol'!$D$2:$E$12,2,0)*U$8^Konstanten!$E$6*$B28*$G28^Konstanten!$F$6*U$7^Konstanten!$G$6*T$8^Konstanten!$H$6*(Konstanten!$C$6-U$7^Konstanten!$I$6*Konstanten!$D$6)*(-0.00072478*G28 + 1.8694)</f>
        <v>975.12448464448983</v>
      </c>
      <c r="V28" s="287">
        <f t="shared" si="0"/>
        <v>18.543632747237751</v>
      </c>
      <c r="W28" s="286">
        <f>3.6*T28/(U$7*Konstanten!$K$3)</f>
        <v>419.18468177716784</v>
      </c>
      <c r="X28" s="287">
        <f>'Limits and Glycol'!$I$8*0.00032601*W28^1.7733</f>
        <v>14.572780534487983</v>
      </c>
      <c r="Y28" s="294">
        <f t="shared" si="25"/>
        <v>0</v>
      </c>
      <c r="Z28" s="281">
        <f t="shared" si="1"/>
        <v>88.988779224422757</v>
      </c>
      <c r="AA28" s="265">
        <f t="shared" si="2"/>
        <v>17.227786941529381</v>
      </c>
      <c r="AB28" s="289">
        <f>IF(T$10="trocken",AC28,IF(Konstanten!$A$18*(U$9^Konstanten!$B$18*U$8^Konstanten!$C$18*AC28^Konstanten!$D$18*T$8^Konstanten!$E$18+U$7^Konstanten!$F$18)&lt;1,AC28,AC28*Konstanten!$A$18*(U$9^Konstanten!$B$18*U$8^Konstanten!$C$18*AC28^Konstanten!$D$18*T$8^Konstanten!$E$18+U$7^Konstanten!$F$18)))</f>
        <v>917.43869743140272</v>
      </c>
      <c r="AC28" s="289">
        <f>VLOOKUP('Calculation Tool'!$O$2,'Limits and Glycol'!$D$2:$E$12,2,0)*U$8^Konstanten!$E$7*$B28*$G28^Konstanten!$F$7*U$7^Konstanten!$G$7*T$8^Konstanten!$H$7*(Konstanten!$C$7-U$7^Konstanten!$I$7*Konstanten!$D$7)*(-0.00072478*G28 + 1.8694)</f>
        <v>917.43869743140272</v>
      </c>
      <c r="AD28" s="287">
        <f t="shared" si="3"/>
        <v>19.073467761824084</v>
      </c>
      <c r="AE28" s="286">
        <f>3.6*AB28/(U$7*Konstanten!$K$3)</f>
        <v>394.38682392746034</v>
      </c>
      <c r="AF28" s="287">
        <f>'Limits and Glycol'!$I$8*0.00023414*AE28^1.7777</f>
        <v>9.6437703413997706</v>
      </c>
      <c r="AG28" s="294">
        <f t="shared" si="4"/>
        <v>0</v>
      </c>
      <c r="AH28" s="281">
        <f t="shared" si="9"/>
        <v>85.963028307123338</v>
      </c>
      <c r="AI28" s="265">
        <f t="shared" si="10"/>
        <v>17.389901819178604</v>
      </c>
      <c r="AJ28" s="127">
        <f t="shared" si="5"/>
        <v>240</v>
      </c>
      <c r="AK28" s="323">
        <f>IF(ISNUMBER(VLOOKUP(F28,$AY$26:$BA$30,3,0)),VLOOKUP(F28,$AY$26:$BA$30,3,0),ROUNDUP((0.5*(1-0.1*$I$8/85)*B28/C28*(G28-140)/1000)/5,0)*5)</f>
        <v>325</v>
      </c>
      <c r="AL28" s="265">
        <f t="shared" si="11"/>
        <v>28.28086345218</v>
      </c>
      <c r="AM28" s="265">
        <f>IF(ISNUMBER(VLOOKUP(F28,$AY$26:$BC$30,5,0)),VLOOKUP(F28,$AY$26:$BC$30,5,0),F28^2*BF28+F28*BG28+BH28)</f>
        <v>36.28086345218</v>
      </c>
      <c r="AN28" s="270">
        <f>IF(ISNUMBER(VLOOKUP(F28,$AY$26:$BD$30,6,0)),VLOOKUP(F28,$AY$26:$BD$30,6,0),F28^2*BI28+F28*BJ28+BK28)</f>
        <v>7.3</v>
      </c>
      <c r="AO28" s="276">
        <f>IF(ISNUMBER(VLOOKUP(F28,$AY$26:$BE$30,7,0)),VLOOKUP(F28,$AY$26:$BE$30,7,0),F28^2*BL28+F28*BM28+BN28)</f>
        <v>76</v>
      </c>
      <c r="AR28" s="110"/>
      <c r="AW28"/>
      <c r="AY28">
        <v>60</v>
      </c>
      <c r="AZ28">
        <f t="shared" si="12"/>
        <v>3600</v>
      </c>
      <c r="BA28" s="214">
        <v>325</v>
      </c>
      <c r="BB28" s="194">
        <v>28.28086345218</v>
      </c>
      <c r="BC28" s="195">
        <v>36.28086345218</v>
      </c>
      <c r="BD28" s="201">
        <v>7.3</v>
      </c>
      <c r="BE28" s="206">
        <v>76</v>
      </c>
      <c r="BF28">
        <f t="shared" ref="BF28:BF30" si="51">BF27</f>
        <v>1.0455861161341273E-3</v>
      </c>
      <c r="BG28">
        <f t="shared" si="45"/>
        <v>0.24822337676301398</v>
      </c>
      <c r="BH28">
        <f t="shared" si="46"/>
        <v>17.341541283057559</v>
      </c>
      <c r="BI28">
        <f t="shared" ref="BI28:BI30" si="52">BI27</f>
        <v>4.2499999999999986E-3</v>
      </c>
      <c r="BJ28">
        <f t="shared" si="47"/>
        <v>-0.2619999999999999</v>
      </c>
      <c r="BK28">
        <f t="shared" si="48"/>
        <v>7.7799999999999976</v>
      </c>
      <c r="BL28">
        <f t="shared" ref="BL28:BL30" si="53">BL27</f>
        <v>3.6250000000000004E-2</v>
      </c>
      <c r="BM28">
        <f t="shared" si="49"/>
        <v>-2.3250000000000011</v>
      </c>
      <c r="BN28">
        <f t="shared" si="50"/>
        <v>85.600000000000023</v>
      </c>
      <c r="BP28" s="249">
        <f t="shared" si="18"/>
        <v>1.3754449722435579E-2</v>
      </c>
      <c r="BQ28" s="250">
        <f t="shared" si="32"/>
        <v>4.4701961597915627</v>
      </c>
      <c r="BR28" s="250">
        <f t="shared" si="6"/>
        <v>4.4701961597915627</v>
      </c>
      <c r="BS28" s="249">
        <f t="shared" si="33"/>
        <v>1.3754449722435577E-2</v>
      </c>
      <c r="BT28" s="251">
        <f t="shared" si="21"/>
        <v>0.85963028307123335</v>
      </c>
      <c r="BU28" s="101">
        <f t="shared" si="22"/>
        <v>17.389901819178604</v>
      </c>
    </row>
    <row r="29" spans="2:78" x14ac:dyDescent="0.3">
      <c r="B29" s="117">
        <f t="shared" si="44"/>
        <v>1130</v>
      </c>
      <c r="C29" s="253">
        <v>1.49</v>
      </c>
      <c r="D29" s="410"/>
      <c r="E29" s="412"/>
      <c r="F29" s="259">
        <f>'Calculation Tool'!F29</f>
        <v>40</v>
      </c>
      <c r="G29" s="120">
        <f t="shared" si="8"/>
        <v>495</v>
      </c>
      <c r="H29" s="305">
        <f>VLOOKUP('Calculation Tool'!$O$2,'Limits and Glycol'!$D$2:$E$12,2,0)*I$8^Konstanten!$E$4*$B29*$G29^Konstanten!$F$4*I$7^Konstanten!$G$4*H$8^Konstanten!$H$4*(Konstanten!$C$4-I$7^Konstanten!$I$4*Konstanten!$D$4)</f>
        <v>3029.2304978898255</v>
      </c>
      <c r="I29" s="287">
        <f>Konstanten!$C$23*(((($K$2+$K$3)*Konstanten!$I$23+$K$4)/(Konstanten!$I$23+2))^Konstanten!$D$23*$G29^Konstanten!$E$23*ABS($I$7)^Konstanten!$F$23+Konstanten!$H$23*($G29*$B29/C29)^Konstanten!$G$23)</f>
        <v>64.945607297551859</v>
      </c>
      <c r="J29" s="286">
        <f>3.6*H29/(I$7*Konstanten!$K$3)</f>
        <v>260.43998326030822</v>
      </c>
      <c r="K29" s="287">
        <f>'Limits and Glycol'!$M$8*0.00032601*J29^1.7733</f>
        <v>6.2662153057177932</v>
      </c>
      <c r="L29" s="288">
        <f>VLOOKUP('Calculation Tool'!$O$2,'Limits and Glycol'!$D$2:$E$12,2,0)*I$8^Konstanten!$E$5*$B29*$G29^Konstanten!$F$5*I$7^Konstanten!$G$5*H$8^Konstanten!$H$5*(Konstanten!$C$5-I$7^Konstanten!$I$5*Konstanten!$D$5)</f>
        <v>2240.2270739741875</v>
      </c>
      <c r="M29" s="287">
        <f>Konstanten!$C$24*(((($K$2+$K$3)*Konstanten!$I$24+$K$4)/(Konstanten!$I$24+2))^Konstanten!$D$24*$G29^Konstanten!$E$24*ABS($I$7)^Konstanten!$F$24+Konstanten!$H$24*($G29*$B29/C29)^Konstanten!$G$24)</f>
        <v>51.607471712473547</v>
      </c>
      <c r="N29" s="286">
        <f>3.6*L29/(I$7*Konstanten!$K$3)</f>
        <v>192.60492129983396</v>
      </c>
      <c r="O29" s="287">
        <f>'Limits and Glycol'!$M$8*0.00054927*N29^1.7275</f>
        <v>4.8590210202455442</v>
      </c>
      <c r="P29" s="257"/>
      <c r="Q29" s="257"/>
      <c r="R29" s="410"/>
      <c r="S29" s="259">
        <v>40</v>
      </c>
      <c r="T29" s="290">
        <f>IF(T$10="trocken",U29,IF(Konstanten!$A$18*(U$9^Konstanten!$B$18*U$8^Konstanten!$C$18*U29^Konstanten!$D$18*T$8^Konstanten!$E$18+U$7^Konstanten!$F$18)&lt;1,U29,U29*Konstanten!$A$18*(U$9^Konstanten!$B$18*U$8^Konstanten!$C$18*U29^Konstanten!$D$18*T$8^Konstanten!$E$18+U$7^Konstanten!$F$18)))</f>
        <v>618.31351885751428</v>
      </c>
      <c r="U29" s="290">
        <f>VLOOKUP('Calculation Tool'!$O$2,'Limits and Glycol'!$D$2:$E$12,2,0)*U$8^Konstanten!$E$6*$B29*$G29^Konstanten!$F$6*U$7^Konstanten!$G$6*T$8^Konstanten!$H$6*(Konstanten!$C$6-U$7^Konstanten!$I$6*Konstanten!$D$6)*(-0.00072478*G29 + 1.8694)</f>
        <v>618.31351885751428</v>
      </c>
      <c r="V29" s="287">
        <f t="shared" si="0"/>
        <v>18.034810273899513</v>
      </c>
      <c r="W29" s="286">
        <f>3.6*T29/(U$7*Konstanten!$K$3)</f>
        <v>265.79945404129859</v>
      </c>
      <c r="X29" s="287">
        <f>'Limits and Glycol'!$I$8*0.00032601*W29^1.7733</f>
        <v>6.4966980139736519</v>
      </c>
      <c r="Y29" s="294">
        <f t="shared" si="25"/>
        <v>0</v>
      </c>
      <c r="Z29" s="281">
        <f t="shared" si="1"/>
        <v>92.000182180193718</v>
      </c>
      <c r="AA29" s="265">
        <f t="shared" si="2"/>
        <v>17.07489081971115</v>
      </c>
      <c r="AB29" s="289">
        <f>IF(T$10="trocken",AC29,IF(Konstanten!$A$18*(U$9^Konstanten!$B$18*U$8^Konstanten!$C$18*AC29^Konstanten!$D$18*T$8^Konstanten!$E$18+U$7^Konstanten!$F$18)&lt;1,AC29,AC29*Konstanten!$A$18*(U$9^Konstanten!$B$18*U$8^Konstanten!$C$18*AC29^Konstanten!$D$18*T$8^Konstanten!$E$18+U$7^Konstanten!$F$18)))</f>
        <v>587.13102298155297</v>
      </c>
      <c r="AC29" s="289">
        <f>VLOOKUP('Calculation Tool'!$O$2,'Limits and Glycol'!$D$2:$E$12,2,0)*U$8^Konstanten!$E$7*$B29*$G29^Konstanten!$F$7*U$7^Konstanten!$G$7*T$8^Konstanten!$H$7*(Konstanten!$C$7-U$7^Konstanten!$I$7*Konstanten!$D$7)*(-0.00072478*G29 + 1.8694)</f>
        <v>587.13102298155297</v>
      </c>
      <c r="AD29" s="287">
        <f t="shared" si="3"/>
        <v>18.512154259754261</v>
      </c>
      <c r="AE29" s="286">
        <f>3.6*AB29/(U$7*Konstanten!$K$3)</f>
        <v>252.39478128759555</v>
      </c>
      <c r="AF29" s="287">
        <f>'Limits and Glycol'!$I$8*0.00023414*AE29^1.7777</f>
        <v>4.3616808980273278</v>
      </c>
      <c r="AG29" s="294">
        <f t="shared" si="4"/>
        <v>0</v>
      </c>
      <c r="AH29" s="281">
        <f t="shared" si="9"/>
        <v>89.172036341747685</v>
      </c>
      <c r="AI29" s="265">
        <f t="shared" si="10"/>
        <v>17.218249104114626</v>
      </c>
      <c r="AJ29" s="127">
        <f t="shared" si="5"/>
        <v>130</v>
      </c>
      <c r="AK29" s="323">
        <f>IF(ISNUMBER(VLOOKUP(F29,$AY$26:$BA$30,3,0)),VLOOKUP(F29,$AY$26:$BA$30,3,0),ROUNDUP((0.5*(1-0.1*$I$8/85)*B29/C29*(G29-140)/1000)/5,0)*5)</f>
        <v>195</v>
      </c>
      <c r="AL29" s="265">
        <f t="shared" si="11"/>
        <v>19.052935669292051</v>
      </c>
      <c r="AM29" s="265">
        <f>IF(ISNUMBER(VLOOKUP(F29,$AY$26:$BC$30,5,0)),VLOOKUP(F29,$AY$26:$BC$30,5,0),F29^2*BF29+F29*BG29+BH29)</f>
        <v>27.052935669292051</v>
      </c>
      <c r="AN29" s="270">
        <f>IF(ISNUMBER(VLOOKUP(F29,$AY$26:$BD$30,6,0)),VLOOKUP(F29,$AY$26:$BD$30,6,0),F29^2*BI29+F29*BJ29+BK29)</f>
        <v>4.8</v>
      </c>
      <c r="AO29" s="276">
        <f>IF(ISNUMBER(VLOOKUP(F29,$AY$26:$BE$30,7,0)),VLOOKUP(F29,$AY$26:$BE$30,7,0),F29^2*BL29+F29*BM29+BN29)</f>
        <v>56</v>
      </c>
      <c r="AR29" s="110"/>
      <c r="AW29"/>
      <c r="AY29">
        <v>40</v>
      </c>
      <c r="AZ29">
        <f t="shared" si="12"/>
        <v>1600</v>
      </c>
      <c r="BA29" s="214">
        <v>195</v>
      </c>
      <c r="BB29" s="194">
        <v>19.052935669292051</v>
      </c>
      <c r="BC29" s="195">
        <v>27.052935669292051</v>
      </c>
      <c r="BD29" s="201">
        <v>4.8</v>
      </c>
      <c r="BE29" s="206">
        <v>56</v>
      </c>
      <c r="BF29">
        <f t="shared" si="51"/>
        <v>1.0455861161341273E-3</v>
      </c>
      <c r="BG29">
        <f t="shared" si="45"/>
        <v>0.24822337676301398</v>
      </c>
      <c r="BH29">
        <f t="shared" si="46"/>
        <v>17.341541283057559</v>
      </c>
      <c r="BI29">
        <f t="shared" si="52"/>
        <v>4.2499999999999986E-3</v>
      </c>
      <c r="BJ29">
        <f t="shared" si="47"/>
        <v>-0.2619999999999999</v>
      </c>
      <c r="BK29">
        <f t="shared" si="48"/>
        <v>7.7799999999999976</v>
      </c>
      <c r="BL29">
        <f t="shared" si="53"/>
        <v>3.6250000000000004E-2</v>
      </c>
      <c r="BM29">
        <f t="shared" si="49"/>
        <v>-2.3250000000000011</v>
      </c>
      <c r="BN29">
        <f t="shared" si="50"/>
        <v>85.600000000000023</v>
      </c>
      <c r="BP29" s="249">
        <f t="shared" si="18"/>
        <v>1.3754449722435579E-2</v>
      </c>
      <c r="BQ29" s="250">
        <f t="shared" si="32"/>
        <v>2.682117695874938</v>
      </c>
      <c r="BR29" s="250">
        <f t="shared" si="6"/>
        <v>2.682117695874938</v>
      </c>
      <c r="BS29" s="249">
        <f t="shared" si="33"/>
        <v>1.3754449722435579E-2</v>
      </c>
      <c r="BT29" s="251">
        <f t="shared" si="21"/>
        <v>0.89172036341747685</v>
      </c>
      <c r="BU29" s="101">
        <f t="shared" si="22"/>
        <v>17.218249104114626</v>
      </c>
    </row>
    <row r="30" spans="2:78" x14ac:dyDescent="0.3">
      <c r="B30" s="117">
        <f t="shared" si="44"/>
        <v>1130</v>
      </c>
      <c r="C30" s="253">
        <v>1.66</v>
      </c>
      <c r="D30" s="413"/>
      <c r="E30" s="414"/>
      <c r="F30" s="260">
        <f>'Calculation Tool'!F30</f>
        <v>20</v>
      </c>
      <c r="G30" s="120">
        <f t="shared" si="8"/>
        <v>315</v>
      </c>
      <c r="H30" s="305">
        <f>VLOOKUP('Calculation Tool'!$O$2,'Limits and Glycol'!$D$2:$E$12,2,0)*I$8^Konstanten!$E$4*$B30*$G30^Konstanten!$F$4*I$7^Konstanten!$G$4*H$8^Konstanten!$H$4*(Konstanten!$C$4-I$7^Konstanten!$I$4*Konstanten!$D$4)</f>
        <v>1871.126856943001</v>
      </c>
      <c r="I30" s="287">
        <f>Konstanten!$C$23*(((($K$2+$K$3)*Konstanten!$I$23+$K$4)/(Konstanten!$I$23+2))^Konstanten!$D$23*$G30^Konstanten!$E$23*ABS($I$7)^Konstanten!$F$23+Konstanten!$H$23*($G30*$B30/C30)^Konstanten!$G$23)</f>
        <v>68.516222998131227</v>
      </c>
      <c r="J30" s="282">
        <f>3.6*H30/(I$7*Konstanten!$K$3)</f>
        <v>160.87129970453384</v>
      </c>
      <c r="K30" s="287">
        <f>'Limits and Glycol'!$M$8*0.00032601*J30^1.7733</f>
        <v>2.6667319914350891</v>
      </c>
      <c r="L30" s="288">
        <f>VLOOKUP('Calculation Tool'!$O$2,'Limits and Glycol'!$D$2:$E$12,2,0)*I$8^Konstanten!$E$5*$B30*$G30^Konstanten!$F$5*I$7^Konstanten!$G$5*H$8^Konstanten!$H$5*(Konstanten!$C$5-I$7^Konstanten!$I$5*Konstanten!$D$5)</f>
        <v>1581.4399658180246</v>
      </c>
      <c r="M30" s="287">
        <f>Konstanten!$C$24*(((($K$2+$K$3)*Konstanten!$I$24+$K$4)/(Konstanten!$I$24+2))^Konstanten!$D$24*$G30^Konstanten!$E$24*ABS($I$7)^Konstanten!$F$24+Konstanten!$H$24*($G30*$B30/C30)^Konstanten!$G$24)</f>
        <v>58.696922251350216</v>
      </c>
      <c r="N30" s="282">
        <f>3.6*L30/(I$7*Konstanten!$K$3)</f>
        <v>135.96528838321788</v>
      </c>
      <c r="O30" s="287">
        <f>'Limits and Glycol'!$M$8*0.00054927*N30^1.7275</f>
        <v>2.6624584110672851</v>
      </c>
      <c r="P30" s="257"/>
      <c r="Q30" s="257"/>
      <c r="R30" s="413"/>
      <c r="S30" s="260">
        <v>20</v>
      </c>
      <c r="T30" s="292">
        <f>IF(T$10="trocken",U30,IF(Konstanten!$A$18*(U$9^Konstanten!$B$18*U$8^Konstanten!$C$18*U30^Konstanten!$D$18*T$8^Konstanten!$E$18+U$7^Konstanten!$F$18)&lt;1,U30,U30*Konstanten!$A$18*(U$9^Konstanten!$B$18*U$8^Konstanten!$C$18*U30^Konstanten!$D$18*T$8^Konstanten!$E$18+U$7^Konstanten!$F$18)))</f>
        <v>346.9135674423265</v>
      </c>
      <c r="U30" s="292">
        <f>VLOOKUP('Calculation Tool'!$O$2,'Limits and Glycol'!$D$2:$E$12,2,0)*U$8^Konstanten!$E$6*$B30*$G30^Konstanten!$F$6*U$7^Konstanten!$G$6*T$8^Konstanten!$H$6*(Konstanten!$C$6-U$7^Konstanten!$I$6*Konstanten!$D$6)*(-0.00072478*G30 + 1.8694)</f>
        <v>346.9135674423265</v>
      </c>
      <c r="V30" s="284">
        <f t="shared" si="0"/>
        <v>17.144371121124582</v>
      </c>
      <c r="W30" s="282">
        <f>3.6*T30/(U$7*Konstanten!$K$3)</f>
        <v>149.13055272682558</v>
      </c>
      <c r="X30" s="284">
        <f>'Limits and Glycol'!$I$8*0.00032601*W30^1.7733</f>
        <v>2.3313990884222227</v>
      </c>
      <c r="Y30" s="295">
        <f t="shared" si="25"/>
        <v>0</v>
      </c>
      <c r="Z30" s="282">
        <f t="shared" si="1"/>
        <v>97.531090175886561</v>
      </c>
      <c r="AA30" s="284">
        <f t="shared" si="2"/>
        <v>16.813757519095056</v>
      </c>
      <c r="AB30" s="291">
        <f>IF(T$10="trocken",AC30,IF(Konstanten!$A$18*(U$9^Konstanten!$B$18*U$8^Konstanten!$C$18*AC30^Konstanten!$D$18*T$8^Konstanten!$E$18+U$7^Konstanten!$F$18)&lt;1,AC30,AC30*Konstanten!$A$18*(U$9^Konstanten!$B$18*U$8^Konstanten!$C$18*AC30^Konstanten!$D$18*T$8^Konstanten!$E$18+U$7^Konstanten!$F$18)))</f>
        <v>332.91367900671906</v>
      </c>
      <c r="AC30" s="291">
        <f>VLOOKUP('Calculation Tool'!$O$2,'Limits and Glycol'!$D$2:$E$12,2,0)*U$8^Konstanten!$E$7*$B30*$G30^Konstanten!$F$7*U$7^Konstanten!$G$7*T$8^Konstanten!$H$7*(Konstanten!$C$7-U$7^Konstanten!$I$7*Konstanten!$D$7)*(-0.00072478*G30 + 1.8694)</f>
        <v>332.91367900671906</v>
      </c>
      <c r="AD30" s="284">
        <f t="shared" si="3"/>
        <v>17.562278238605401</v>
      </c>
      <c r="AE30" s="282">
        <f>3.6*AB30/(U$7*Konstanten!$K$3)</f>
        <v>143.11230698363156</v>
      </c>
      <c r="AF30" s="284">
        <f>'Limits and Glycol'!$I$8*0.00023414*AE30^1.7777</f>
        <v>1.5908256546083808</v>
      </c>
      <c r="AG30" s="295">
        <f t="shared" si="4"/>
        <v>0</v>
      </c>
      <c r="AH30" s="282">
        <f t="shared" si="9"/>
        <v>94.89294129180449</v>
      </c>
      <c r="AI30" s="284">
        <f t="shared" si="10"/>
        <v>16.935307240771579</v>
      </c>
      <c r="AJ30" s="254">
        <f t="shared" si="5"/>
        <v>60</v>
      </c>
      <c r="AK30" s="323">
        <f>IF(ISNUMBER(VLOOKUP(F30,$AY$26:$BA$30,3,0)),VLOOKUP(F30,$AY$26:$BA$30,3,0),ROUNDUP((0.5*(1-0.1*$I$8/85)*B30/C30*(G30-140)/1000)/5,0)*5)</f>
        <v>100</v>
      </c>
      <c r="AL30" s="266">
        <f t="shared" si="11"/>
        <v>15.622514242278697</v>
      </c>
      <c r="AM30" s="266">
        <f>IF(ISNUMBER(VLOOKUP(F30,$AY$26:$BC$30,5,0)),VLOOKUP(F30,$AY$26:$BC$30,5,0),F30^2*BF30+F30*BG30+BH30)</f>
        <v>23.622514242278697</v>
      </c>
      <c r="AN30" s="271">
        <f>IF(ISNUMBER(VLOOKUP(F30,$AY$26:$BD$30,6,0)),VLOOKUP(F30,$AY$26:$BD$30,6,0),F30^2*BI30+F30*BJ30+BK30)</f>
        <v>3.9</v>
      </c>
      <c r="AO30" s="277">
        <f>IF(ISNUMBER(VLOOKUP(F30,$AY$26:$BE$30,7,0)),VLOOKUP(F30,$AY$26:$BE$30,7,0),F30^2*BL30+F30*BM30+BN30)</f>
        <v>51</v>
      </c>
      <c r="AR30" s="110"/>
      <c r="AW30"/>
      <c r="AY30">
        <v>20</v>
      </c>
      <c r="AZ30">
        <f t="shared" si="12"/>
        <v>400</v>
      </c>
      <c r="BA30" s="215">
        <v>100</v>
      </c>
      <c r="BB30" s="196">
        <v>15.622514242278697</v>
      </c>
      <c r="BC30" s="197">
        <v>23.622514242278697</v>
      </c>
      <c r="BD30" s="203">
        <v>3.9</v>
      </c>
      <c r="BE30" s="207">
        <v>51</v>
      </c>
      <c r="BF30">
        <f t="shared" si="51"/>
        <v>1.0455861161341273E-3</v>
      </c>
      <c r="BG30">
        <f t="shared" si="45"/>
        <v>0.24822337676301398</v>
      </c>
      <c r="BH30">
        <f t="shared" si="46"/>
        <v>17.341541283057559</v>
      </c>
      <c r="BI30">
        <f t="shared" si="52"/>
        <v>4.2499999999999986E-3</v>
      </c>
      <c r="BJ30">
        <f t="shared" si="47"/>
        <v>-0.2619999999999999</v>
      </c>
      <c r="BK30">
        <f t="shared" si="48"/>
        <v>7.7799999999999976</v>
      </c>
      <c r="BL30">
        <f t="shared" si="53"/>
        <v>3.6250000000000004E-2</v>
      </c>
      <c r="BM30">
        <f t="shared" si="49"/>
        <v>-2.3250000000000011</v>
      </c>
      <c r="BN30">
        <f t="shared" si="50"/>
        <v>85.600000000000023</v>
      </c>
      <c r="BP30" s="249">
        <f t="shared" si="18"/>
        <v>1.3754449722435579E-2</v>
      </c>
      <c r="BQ30" s="250">
        <f t="shared" si="32"/>
        <v>1.3754449722435578</v>
      </c>
      <c r="BR30" s="250">
        <f t="shared" si="6"/>
        <v>1.3754449722435578</v>
      </c>
      <c r="BS30" s="249">
        <f t="shared" si="33"/>
        <v>1.3754449722435579E-2</v>
      </c>
      <c r="BT30" s="251">
        <f t="shared" si="21"/>
        <v>0.94892941291804478</v>
      </c>
      <c r="BU30" s="101">
        <f t="shared" si="22"/>
        <v>16.935307240771579</v>
      </c>
    </row>
    <row r="31" spans="2:78" x14ac:dyDescent="0.3">
      <c r="B31" s="117">
        <f>IF(ISNUMBER(VLOOKUP($E$31,$AV$16:$AW$41,2,0)),VLOOKUP($E$31,$AV$16:$AW$41,2,0),$E$31*(1+$AX$14))</f>
        <v>1480</v>
      </c>
      <c r="C31" s="253">
        <v>1</v>
      </c>
      <c r="D31" s="409">
        <v>2000</v>
      </c>
      <c r="E31" s="411">
        <v>1310</v>
      </c>
      <c r="F31" s="259">
        <f>'Calculation Tool'!F31</f>
        <v>100</v>
      </c>
      <c r="G31" s="120">
        <f t="shared" si="8"/>
        <v>1205</v>
      </c>
      <c r="H31" s="305">
        <f>VLOOKUP('Calculation Tool'!$O$2,'Limits and Glycol'!$D$2:$E$12,2,0)*I$8^Konstanten!$E$4*$B31*$G31^Konstanten!$F$4*I$7^Konstanten!$G$4*H$8^Konstanten!$H$4*(Konstanten!$C$4-I$7^Konstanten!$I$4*Konstanten!$D$4)</f>
        <v>10241.352148403834</v>
      </c>
      <c r="I31" s="285">
        <f>Konstanten!$C$23*(((($K$2+$K$3)*Konstanten!$I$23+$K$4)/(Konstanten!$I$23+2))^Konstanten!$D$23*$G31^Konstanten!$E$23*ABS($I$7)^Konstanten!$F$23+Konstanten!$H$23*($G31*$B31/C31)^Konstanten!$G$23)</f>
        <v>58.665484003734441</v>
      </c>
      <c r="J31" s="286">
        <f>3.6*H31/(I$7*Konstanten!$K$3)</f>
        <v>880.5066448232443</v>
      </c>
      <c r="K31" s="285">
        <f>'Limits and Glycol'!$M$8*0.0003326*J31^1.8063</f>
        <v>69.341432359187422</v>
      </c>
      <c r="L31" s="288">
        <f>VLOOKUP('Calculation Tool'!$O$2,'Limits and Glycol'!$D$2:$E$12,2,0)*I$8^Konstanten!$E$5*$B31*$G31^Konstanten!$F$5*I$7^Konstanten!$G$5*H$8^Konstanten!$H$5*(Konstanten!$C$5-I$7^Konstanten!$I$5*Konstanten!$D$5)</f>
        <v>5823.3289349909992</v>
      </c>
      <c r="M31" s="285">
        <f>Konstanten!$C$24*(((($K$2+$K$3)*Konstanten!$I$24+$K$4)/(Konstanten!$I$24+2))^Konstanten!$D$24*$G31^Konstanten!$E$24*ABS($I$7)^Konstanten!$F$24+Konstanten!$H$24*($G31*$B31/C31)^Konstanten!$G$24)</f>
        <v>42.478748414206308</v>
      </c>
      <c r="N31" s="286">
        <f>3.6*L31/(I$7*Konstanten!$K$3)</f>
        <v>500.66434079704851</v>
      </c>
      <c r="O31" s="285">
        <f>'Limits and Glycol'!$M$8*0.00057148*N31^1.764</f>
        <v>33.037056420051094</v>
      </c>
      <c r="P31" s="257"/>
      <c r="Q31" s="257"/>
      <c r="R31" s="409">
        <v>2000</v>
      </c>
      <c r="S31" s="259">
        <v>100</v>
      </c>
      <c r="T31" s="290">
        <f>IF(T$10="trocken",U31,IF(Konstanten!$A$18*(U$9^Konstanten!$B$18*U$8^Konstanten!$C$18*U31^Konstanten!$D$18*T$8^Konstanten!$E$18+U$7^Konstanten!$F$18)&lt;1,U31,U31*Konstanten!$A$18*(U$9^Konstanten!$B$18*U$8^Konstanten!$C$18*U31^Konstanten!$D$18*T$8^Konstanten!$E$18+U$7^Konstanten!$F$18)))</f>
        <v>1960.4624556090062</v>
      </c>
      <c r="U31" s="290">
        <f>VLOOKUP('Calculation Tool'!$O$2,'Limits and Glycol'!$D$2:$E$12,2,0)*U$8^Konstanten!$E$6*$B31*$G31^Konstanten!$F$6*U$7^Konstanten!$G$6*T$8^Konstanten!$H$6*(Konstanten!$C$6-U$7^Konstanten!$I$6*Konstanten!$D$6)*(-0.00072478*G31 + 1.8694)</f>
        <v>1960.4624556090062</v>
      </c>
      <c r="V31" s="287">
        <f t="shared" si="0"/>
        <v>19.850161133122597</v>
      </c>
      <c r="W31" s="286">
        <f>3.6*T31/(U$7*Konstanten!$K$3)</f>
        <v>842.75991786849249</v>
      </c>
      <c r="X31" s="287">
        <f>'Limits and Glycol'!$I$8*0.0003326*W31^1.8063</f>
        <v>64.065047005221544</v>
      </c>
      <c r="Y31" s="294">
        <f t="shared" si="25"/>
        <v>0</v>
      </c>
      <c r="Z31" s="283">
        <f t="shared" si="1"/>
        <v>81.721743356779456</v>
      </c>
      <c r="AA31" s="285">
        <f t="shared" si="2"/>
        <v>17.632992745614949</v>
      </c>
      <c r="AB31" s="289">
        <f>IF(T$10="trocken",AC31,IF(Konstanten!$A$18*(U$9^Konstanten!$B$18*U$8^Konstanten!$C$18*AC31^Konstanten!$D$18*T$8^Konstanten!$E$18+U$7^Konstanten!$F$18)&lt;1,AC31,AC31*Konstanten!$A$18*(U$9^Konstanten!$B$18*U$8^Konstanten!$C$18*AC31^Konstanten!$D$18*T$8^Konstanten!$E$18+U$7^Konstanten!$F$18)))</f>
        <v>1823.3147305009184</v>
      </c>
      <c r="AC31" s="289">
        <f>VLOOKUP('Calculation Tool'!$O$2,'Limits and Glycol'!$D$2:$E$12,2,0)*U$8^Konstanten!$E$7*$B31*$G31^Konstanten!$F$7*U$7^Konstanten!$G$7*T$8^Konstanten!$H$7*(Konstanten!$C$7-U$7^Konstanten!$I$7*Konstanten!$D$7)*(-0.00072478*G31 + 1.8694)</f>
        <v>1823.3147305009184</v>
      </c>
      <c r="AD31" s="287">
        <f t="shared" si="3"/>
        <v>20.385319557112798</v>
      </c>
      <c r="AE31" s="286">
        <f>3.6*AB31/(U$7*Konstanten!$K$3)</f>
        <v>783.80311141843606</v>
      </c>
      <c r="AF31" s="287">
        <f>'Limits and Glycol'!$I$8*0.00031286*AE31^1.7659</f>
        <v>40.38593597985404</v>
      </c>
      <c r="AG31" s="294">
        <f t="shared" si="4"/>
        <v>0</v>
      </c>
      <c r="AH31" s="283">
        <f t="shared" si="9"/>
        <v>78.927959504821558</v>
      </c>
      <c r="AI31" s="285">
        <f t="shared" si="10"/>
        <v>17.804304412077208</v>
      </c>
      <c r="AJ31" s="127">
        <f t="shared" si="5"/>
        <v>745</v>
      </c>
      <c r="AK31" s="324">
        <f>IF(ISNUMBER(VLOOKUP(F31,$AY$31:$BA$35,3,0)),VLOOKUP(F31,$AY$31:$BA$35,3,0),ROUNDUP((0.5*(1-0.1*$I$8/85)*B31/C31*(G31-140)/1000)/5,0)*5)</f>
        <v>765</v>
      </c>
      <c r="AL31" s="265">
        <f t="shared" si="11"/>
        <v>44.735059962189212</v>
      </c>
      <c r="AM31" s="265">
        <f>IF(ISNUMBER(VLOOKUP(F31,$AY$31:$BC$35,5,0)),VLOOKUP(F31,$AY$31:$BC$35,5,0),F31^2*BF31+F31*BG31+BH31)</f>
        <v>52.735059962189212</v>
      </c>
      <c r="AN31" s="269">
        <f>IF(ISNUMBER(VLOOKUP(F31,$AY$31:$BD$35,6,0)),VLOOKUP(F31,$AY$31:$BD$35,6,0),F31^2*BI31+F31*BJ31+BK31)</f>
        <v>34.700000000000003</v>
      </c>
      <c r="AO31" s="275">
        <f>IF(ISNUMBER(VLOOKUP(F31,$AY$31:$BE$35,7,0)),VLOOKUP(F31,$AY$31:$BE$35,7,0),F31^2*BL31+F31*BM31+BN31)</f>
        <v>309</v>
      </c>
      <c r="AR31" s="110"/>
      <c r="AV31" s="109">
        <f>680+630</f>
        <v>1310</v>
      </c>
      <c r="AW31">
        <v>1480</v>
      </c>
      <c r="AX31">
        <f t="shared" si="31"/>
        <v>0.12977099236641221</v>
      </c>
      <c r="AY31">
        <v>100</v>
      </c>
      <c r="AZ31">
        <f t="shared" si="12"/>
        <v>10000</v>
      </c>
      <c r="BA31" s="214">
        <v>765</v>
      </c>
      <c r="BB31" s="194">
        <v>44.735059962189212</v>
      </c>
      <c r="BC31" s="195">
        <v>52.735059962189212</v>
      </c>
      <c r="BD31" s="200">
        <v>34.700000000000003</v>
      </c>
      <c r="BE31" s="205">
        <v>309</v>
      </c>
      <c r="BF31">
        <f t="array" ref="BF31:BH31">LINEST(BC31:BC35,AY31:AZ35)</f>
        <v>1.0455861161341275E-3</v>
      </c>
      <c r="BG31">
        <v>0.24822337676301406</v>
      </c>
      <c r="BH31">
        <v>18.261195586967492</v>
      </c>
      <c r="BI31">
        <f t="array" ref="BI31:BK31">LINEST(BD31:BD35,AY31:AZ35)</f>
        <v>6.0535714285714307E-3</v>
      </c>
      <c r="BJ31">
        <v>-0.37392857142857167</v>
      </c>
      <c r="BK31">
        <v>11.120000000000001</v>
      </c>
      <c r="BL31">
        <f t="array" ref="BL31:BN31">LINEST(BE31:BE35,AY31:AZ35)</f>
        <v>5.1428571428571421E-2</v>
      </c>
      <c r="BM31">
        <v>-3.3114285714285727</v>
      </c>
      <c r="BN31">
        <v>122.40000000000012</v>
      </c>
      <c r="BP31" s="249">
        <f t="shared" si="18"/>
        <v>1.3754449722435579E-2</v>
      </c>
      <c r="BQ31" s="250">
        <f t="shared" si="32"/>
        <v>10.522154037663217</v>
      </c>
      <c r="BR31" s="250">
        <f t="shared" si="6"/>
        <v>10.522154037663217</v>
      </c>
      <c r="BS31" s="249">
        <f t="shared" si="33"/>
        <v>1.3754449722435579E-2</v>
      </c>
      <c r="BT31" s="251">
        <f t="shared" si="21"/>
        <v>0.78927959504821565</v>
      </c>
      <c r="BU31" s="101">
        <f t="shared" si="22"/>
        <v>17.804304412077208</v>
      </c>
    </row>
    <row r="32" spans="2:78" x14ac:dyDescent="0.3">
      <c r="B32" s="117">
        <f t="shared" ref="B32:B35" si="54">IF(ISNUMBER(VLOOKUP($E$31,$AV$16:$AW$41,2,0)),VLOOKUP($E$31,$AV$16:$AW$41,2,0),$E$31*(1+$AX$14))</f>
        <v>1480</v>
      </c>
      <c r="C32" s="253">
        <v>1.1599999999999999</v>
      </c>
      <c r="D32" s="410"/>
      <c r="E32" s="412"/>
      <c r="F32" s="259">
        <f>'Calculation Tool'!F32</f>
        <v>80</v>
      </c>
      <c r="G32" s="120">
        <f t="shared" si="8"/>
        <v>985</v>
      </c>
      <c r="H32" s="305">
        <f>VLOOKUP('Calculation Tool'!$O$2,'Limits and Glycol'!$D$2:$E$12,2,0)*I$8^Konstanten!$E$4*$B32*$G32^Konstanten!$F$4*I$7^Konstanten!$G$4*H$8^Konstanten!$H$4*(Konstanten!$C$4-I$7^Konstanten!$I$4*Konstanten!$D$4)</f>
        <v>8261.0927324168806</v>
      </c>
      <c r="I32" s="287">
        <f>Konstanten!$C$23*(((($K$2+$K$3)*Konstanten!$I$23+$K$4)/(Konstanten!$I$23+2))^Konstanten!$D$23*$G32^Konstanten!$E$23*ABS($I$7)^Konstanten!$F$23+Konstanten!$H$23*($G32*$B32/C32)^Konstanten!$G$23)</f>
        <v>60.018136272178438</v>
      </c>
      <c r="J32" s="286">
        <f>3.6*H32/(I$7*Konstanten!$K$3)</f>
        <v>710.25260522144595</v>
      </c>
      <c r="K32" s="287">
        <f>'Limits and Glycol'!$M$8*0.0003326*J32^1.8063</f>
        <v>47.035877374681576</v>
      </c>
      <c r="L32" s="288">
        <f>VLOOKUP('Calculation Tool'!$O$2,'Limits and Glycol'!$D$2:$E$12,2,0)*I$8^Konstanten!$E$5*$B32*$G32^Konstanten!$F$5*I$7^Konstanten!$G$5*H$8^Konstanten!$H$5*(Konstanten!$C$5-I$7^Konstanten!$I$5*Konstanten!$D$5)</f>
        <v>4985.5830732586574</v>
      </c>
      <c r="M32" s="287">
        <f>Konstanten!$C$24*(((($K$2+$K$3)*Konstanten!$I$24+$K$4)/(Konstanten!$I$24+2))^Konstanten!$D$24*$G32^Konstanten!$E$24*ABS($I$7)^Konstanten!$F$24+Konstanten!$H$24*($G32*$B32/C32)^Konstanten!$G$24)</f>
        <v>44.124820146732333</v>
      </c>
      <c r="N32" s="286">
        <f>3.6*L32/(I$7*Konstanten!$K$3)</f>
        <v>428.63861731448401</v>
      </c>
      <c r="O32" s="287">
        <f>'Limits and Glycol'!$M$8*0.00057148*N32^1.764</f>
        <v>25.119447391827165</v>
      </c>
      <c r="P32" s="257"/>
      <c r="Q32" s="257"/>
      <c r="R32" s="410"/>
      <c r="S32" s="259">
        <v>80</v>
      </c>
      <c r="T32" s="290">
        <f>IF(T$10="trocken",U32,IF(Konstanten!$A$18*(U$9^Konstanten!$B$18*U$8^Konstanten!$C$18*U32^Konstanten!$D$18*T$8^Konstanten!$E$18+U$7^Konstanten!$F$18)&lt;1,U32,U32*Konstanten!$A$18*(U$9^Konstanten!$B$18*U$8^Konstanten!$C$18*U32^Konstanten!$D$18*T$8^Konstanten!$E$18+U$7^Konstanten!$F$18)))</f>
        <v>1693.786281296037</v>
      </c>
      <c r="U32" s="290">
        <f>VLOOKUP('Calculation Tool'!$O$2,'Limits and Glycol'!$D$2:$E$12,2,0)*U$8^Konstanten!$E$6*$B32*$G32^Konstanten!$F$6*U$7^Konstanten!$G$6*T$8^Konstanten!$H$6*(Konstanten!$C$6-U$7^Konstanten!$I$6*Konstanten!$D$6)*(-0.00072478*G32 + 1.8694)</f>
        <v>1693.786281296037</v>
      </c>
      <c r="V32" s="287">
        <f t="shared" si="0"/>
        <v>19.142845534495933</v>
      </c>
      <c r="W32" s="286">
        <f>3.6*T32/(U$7*Konstanten!$K$3)</f>
        <v>728.12166498153977</v>
      </c>
      <c r="X32" s="287">
        <f>'Limits and Glycol'!$I$8*0.0003326*W32^1.8063</f>
        <v>49.195031853369876</v>
      </c>
      <c r="Y32" s="294">
        <f t="shared" si="25"/>
        <v>0</v>
      </c>
      <c r="Z32" s="281">
        <f t="shared" si="1"/>
        <v>85.574921145215981</v>
      </c>
      <c r="AA32" s="265">
        <f t="shared" si="2"/>
        <v>17.411351255294811</v>
      </c>
      <c r="AB32" s="289">
        <f>IF(T$10="trocken",AC32,IF(Konstanten!$A$18*(U$9^Konstanten!$B$18*U$8^Konstanten!$C$18*AC32^Konstanten!$D$18*T$8^Konstanten!$E$18+U$7^Konstanten!$F$18)&lt;1,AC32,AC32*Konstanten!$A$18*(U$9^Konstanten!$B$18*U$8^Konstanten!$C$18*AC32^Konstanten!$D$18*T$8^Konstanten!$E$18+U$7^Konstanten!$F$18)))</f>
        <v>1582.728039004005</v>
      </c>
      <c r="AC32" s="289">
        <f>VLOOKUP('Calculation Tool'!$O$2,'Limits and Glycol'!$D$2:$E$12,2,0)*U$8^Konstanten!$E$7*$B32*$G32^Konstanten!$F$7*U$7^Konstanten!$G$7*T$8^Konstanten!$H$7*(Konstanten!$C$7-U$7^Konstanten!$I$7*Konstanten!$D$7)*(-0.00072478*G32 + 1.8694)</f>
        <v>1582.728039004005</v>
      </c>
      <c r="AD32" s="287">
        <f t="shared" si="3"/>
        <v>19.690807751306252</v>
      </c>
      <c r="AE32" s="286">
        <f>3.6*AB32/(U$7*Konstanten!$K$3)</f>
        <v>680.38015639775142</v>
      </c>
      <c r="AF32" s="287">
        <f>'Limits and Glycol'!$I$8*0.00031286*AE32^1.7659</f>
        <v>31.456192928414538</v>
      </c>
      <c r="AG32" s="294">
        <f t="shared" si="4"/>
        <v>0</v>
      </c>
      <c r="AH32" s="281">
        <f t="shared" si="9"/>
        <v>82.573609600141509</v>
      </c>
      <c r="AI32" s="265">
        <f t="shared" si="10"/>
        <v>17.582585575372072</v>
      </c>
      <c r="AJ32" s="127">
        <f t="shared" si="5"/>
        <v>510</v>
      </c>
      <c r="AK32" s="323">
        <f>IF(ISNUMBER(VLOOKUP(F32,$AY$31:$BA$35,3,0)),VLOOKUP(F32,$AY$31:$BA$35,3,0),ROUNDUP((0.5*(1-0.1*$I$8/85)*B32/C32*(G32-140)/1000)/5,0)*5)</f>
        <v>605</v>
      </c>
      <c r="AL32" s="265">
        <f t="shared" si="11"/>
        <v>38.325549281022717</v>
      </c>
      <c r="AM32" s="265">
        <f>IF(ISNUMBER(VLOOKUP(F32,$AY$31:$BC$35,5,0)),VLOOKUP(F32,$AY$31:$BC$35,5,0),F32^2*BF32+F32*BG32+BH32)</f>
        <v>46.325549281022717</v>
      </c>
      <c r="AN32" s="270">
        <f>IF(ISNUMBER(VLOOKUP(F32,$AY$31:$BD$35,6,0)),VLOOKUP(F32,$AY$31:$BD$35,6,0),F32^2*BI32+F32*BJ32+BK32)</f>
        <v>19.100000000000001</v>
      </c>
      <c r="AO32" s="276">
        <f>IF(ISNUMBER(VLOOKUP(F32,$AY$31:$BE$35,7,0)),VLOOKUP(F32,$AY$31:$BE$35,7,0),F32^2*BL32+F32*BM32+BN32)</f>
        <v>180</v>
      </c>
      <c r="AR32" s="110"/>
      <c r="AW32"/>
      <c r="AY32">
        <v>80</v>
      </c>
      <c r="AZ32">
        <f t="shared" si="12"/>
        <v>6400</v>
      </c>
      <c r="BA32" s="214">
        <v>605</v>
      </c>
      <c r="BB32" s="194">
        <v>38.325549281022717</v>
      </c>
      <c r="BC32" s="195">
        <v>46.325549281022717</v>
      </c>
      <c r="BD32" s="201">
        <v>19.100000000000001</v>
      </c>
      <c r="BE32" s="206">
        <v>180</v>
      </c>
      <c r="BF32">
        <f>BF31</f>
        <v>1.0455861161341275E-3</v>
      </c>
      <c r="BG32">
        <f t="shared" ref="BG32:BG35" si="55">BG31</f>
        <v>0.24822337676301406</v>
      </c>
      <c r="BH32">
        <f t="shared" ref="BH32:BH35" si="56">BH31</f>
        <v>18.261195586967492</v>
      </c>
      <c r="BI32">
        <f>BI31</f>
        <v>6.0535714285714307E-3</v>
      </c>
      <c r="BJ32">
        <f t="shared" ref="BJ32:BJ35" si="57">BJ31</f>
        <v>-0.37392857142857167</v>
      </c>
      <c r="BK32">
        <f t="shared" ref="BK32:BK35" si="58">BK31</f>
        <v>11.120000000000001</v>
      </c>
      <c r="BL32">
        <f>BL31</f>
        <v>5.1428571428571421E-2</v>
      </c>
      <c r="BM32">
        <f t="shared" ref="BM32:BM35" si="59">BM31</f>
        <v>-3.3114285714285727</v>
      </c>
      <c r="BN32">
        <f t="shared" ref="BN32:BN35" si="60">BN31</f>
        <v>122.40000000000012</v>
      </c>
      <c r="BP32" s="249">
        <f t="shared" si="18"/>
        <v>1.3754449722435579E-2</v>
      </c>
      <c r="BQ32" s="250">
        <f t="shared" si="32"/>
        <v>8.3214420820735242</v>
      </c>
      <c r="BR32" s="250">
        <f t="shared" si="6"/>
        <v>8.3214420820735242</v>
      </c>
      <c r="BS32" s="249">
        <f t="shared" si="33"/>
        <v>1.3754449722435577E-2</v>
      </c>
      <c r="BT32" s="251">
        <f t="shared" si="21"/>
        <v>0.82573609600141507</v>
      </c>
      <c r="BU32" s="101">
        <f t="shared" si="22"/>
        <v>17.582585575372072</v>
      </c>
    </row>
    <row r="33" spans="2:73" x14ac:dyDescent="0.3">
      <c r="B33" s="117">
        <f t="shared" si="54"/>
        <v>1480</v>
      </c>
      <c r="C33" s="253">
        <v>1.33</v>
      </c>
      <c r="D33" s="410"/>
      <c r="E33" s="412"/>
      <c r="F33" s="259">
        <f>'Calculation Tool'!F33</f>
        <v>60</v>
      </c>
      <c r="G33" s="120">
        <f t="shared" si="8"/>
        <v>735</v>
      </c>
      <c r="H33" s="305">
        <f>VLOOKUP('Calculation Tool'!$O$2,'Limits and Glycol'!$D$2:$E$12,2,0)*I$8^Konstanten!$E$4*$B33*$G33^Konstanten!$F$4*I$7^Konstanten!$G$4*H$8^Konstanten!$H$4*(Konstanten!$C$4-I$7^Konstanten!$I$4*Konstanten!$D$4)</f>
        <v>6046.5880847454491</v>
      </c>
      <c r="I33" s="287">
        <f>Konstanten!$C$23*(((($K$2+$K$3)*Konstanten!$I$23+$K$4)/(Konstanten!$I$23+2))^Konstanten!$D$23*$G33^Konstanten!$E$23*ABS($I$7)^Konstanten!$F$23+Konstanten!$H$23*($G33*$B33/C33)^Konstanten!$G$23)</f>
        <v>62.076736133240189</v>
      </c>
      <c r="J33" s="286">
        <f>3.6*H33/(I$7*Konstanten!$K$3)</f>
        <v>519.85918558197466</v>
      </c>
      <c r="K33" s="287">
        <f>'Limits and Glycol'!$M$8*0.0003326*J33^1.8063</f>
        <v>26.768659574677432</v>
      </c>
      <c r="L33" s="288">
        <f>VLOOKUP('Calculation Tool'!$O$2,'Limits and Glycol'!$D$2:$E$12,2,0)*I$8^Konstanten!$E$5*$B33*$G33^Konstanten!$F$5*I$7^Konstanten!$G$5*H$8^Konstanten!$H$5*(Konstanten!$C$5-I$7^Konstanten!$I$5*Konstanten!$D$5)</f>
        <v>3978.7937187117236</v>
      </c>
      <c r="M33" s="287">
        <f>Konstanten!$C$24*(((($K$2+$K$3)*Konstanten!$I$24+$K$4)/(Konstanten!$I$24+2))^Konstanten!$D$24*$G33^Konstanten!$E$24*ABS($I$7)^Konstanten!$F$24+Konstanten!$H$24*($G33*$B33/C33)^Konstanten!$G$24)</f>
        <v>47.096714786144176</v>
      </c>
      <c r="N33" s="286">
        <f>3.6*L33/(I$7*Konstanten!$K$3)</f>
        <v>342.07927400022805</v>
      </c>
      <c r="O33" s="287">
        <f>'Limits and Glycol'!$M$8*0.00057148*N33^1.764</f>
        <v>16.873323923568552</v>
      </c>
      <c r="P33" s="257"/>
      <c r="Q33" s="257"/>
      <c r="R33" s="410"/>
      <c r="S33" s="259">
        <v>60</v>
      </c>
      <c r="T33" s="290">
        <f>IF(T$10="trocken",U33,IF(Konstanten!$A$18*(U$9^Konstanten!$B$18*U$8^Konstanten!$C$18*U33^Konstanten!$D$18*T$8^Konstanten!$E$18+U$7^Konstanten!$F$18)&lt;1,U33,U33*Konstanten!$A$18*(U$9^Konstanten!$B$18*U$8^Konstanten!$C$18*U33^Konstanten!$D$18*T$8^Konstanten!$E$18+U$7^Konstanten!$F$18)))</f>
        <v>1277.154192277739</v>
      </c>
      <c r="U33" s="290">
        <f>VLOOKUP('Calculation Tool'!$O$2,'Limits and Glycol'!$D$2:$E$12,2,0)*U$8^Konstanten!$E$6*$B33*$G33^Konstanten!$F$6*U$7^Konstanten!$G$6*T$8^Konstanten!$H$6*(Konstanten!$C$6-U$7^Konstanten!$I$6*Konstanten!$D$6)*(-0.00072478*G33 + 1.8694)</f>
        <v>1277.154192277739</v>
      </c>
      <c r="V33" s="287">
        <f t="shared" si="0"/>
        <v>18.529645708321411</v>
      </c>
      <c r="W33" s="286">
        <f>3.6*T33/(U$7*Konstanten!$K$3)</f>
        <v>549.02064515947643</v>
      </c>
      <c r="X33" s="287">
        <f>'Limits and Glycol'!$I$8*0.0003326*W33^1.8063</f>
        <v>29.542093611561508</v>
      </c>
      <c r="Y33" s="294">
        <f t="shared" si="25"/>
        <v>0</v>
      </c>
      <c r="Z33" s="281">
        <f t="shared" si="1"/>
        <v>89.070158058431971</v>
      </c>
      <c r="AA33" s="265">
        <f t="shared" si="2"/>
        <v>17.223547642109878</v>
      </c>
      <c r="AB33" s="289">
        <f>IF(T$10="trocken",AC33,IF(Konstanten!$A$18*(U$9^Konstanten!$B$18*U$8^Konstanten!$C$18*AC33^Konstanten!$D$18*T$8^Konstanten!$E$18+U$7^Konstanten!$F$18)&lt;1,AC33,AC33*Konstanten!$A$18*(U$9^Konstanten!$B$18*U$8^Konstanten!$C$18*AC33^Konstanten!$D$18*T$8^Konstanten!$E$18+U$7^Konstanten!$F$18)))</f>
        <v>1201.6011258393594</v>
      </c>
      <c r="AC33" s="289">
        <f>VLOOKUP('Calculation Tool'!$O$2,'Limits and Glycol'!$D$2:$E$12,2,0)*U$8^Konstanten!$E$7*$B33*$G33^Konstanten!$F$7*U$7^Konstanten!$G$7*T$8^Konstanten!$H$7*(Konstanten!$C$7-U$7^Konstanten!$I$7*Konstanten!$D$7)*(-0.00072478*G33 + 1.8694)</f>
        <v>1201.6011258393594</v>
      </c>
      <c r="AD33" s="287">
        <f t="shared" si="3"/>
        <v>19.060308159161657</v>
      </c>
      <c r="AE33" s="286">
        <f>3.6*AB33/(U$7*Konstanten!$K$3)</f>
        <v>516.5420348784437</v>
      </c>
      <c r="AF33" s="287">
        <f>'Limits and Glycol'!$I$8*0.00031286*AE33^1.7659</f>
        <v>19.338524811018164</v>
      </c>
      <c r="AG33" s="294">
        <f t="shared" si="4"/>
        <v>0</v>
      </c>
      <c r="AH33" s="281">
        <f t="shared" si="9"/>
        <v>86.036853409244515</v>
      </c>
      <c r="AI33" s="265">
        <f t="shared" si="10"/>
        <v>17.385839101746313</v>
      </c>
      <c r="AJ33" s="127">
        <f t="shared" si="5"/>
        <v>315</v>
      </c>
      <c r="AK33" s="323">
        <f>IF(ISNUMBER(VLOOKUP(F33,$AY$31:$BA$35,3,0)),VLOOKUP(F33,$AY$31:$BA$35,3,0),ROUNDUP((0.5*(1-0.1*$I$8/85)*B33/C33*(G33-140)/1000)/5,0)*5)</f>
        <v>425</v>
      </c>
      <c r="AL33" s="265">
        <f t="shared" si="11"/>
        <v>29.200517756089937</v>
      </c>
      <c r="AM33" s="265">
        <f>IF(ISNUMBER(VLOOKUP(F33,$AY$31:$BC$35,5,0)),VLOOKUP(F33,$AY$31:$BC$35,5,0),F33^2*BF33+F33*BG33+BH33)</f>
        <v>37.200517756089937</v>
      </c>
      <c r="AN33" s="270">
        <f>IF(ISNUMBER(VLOOKUP(F33,$AY$31:$BD$35,6,0)),VLOOKUP(F33,$AY$31:$BD$35,6,0),F33^2*BI33+F33*BJ33+BK33)</f>
        <v>10.4</v>
      </c>
      <c r="AO33" s="276">
        <f>IF(ISNUMBER(VLOOKUP(F33,$AY$31:$BE$35,7,0)),VLOOKUP(F33,$AY$31:$BE$35,7,0),F33^2*BL33+F33*BM33+BN33)</f>
        <v>108</v>
      </c>
      <c r="AR33" s="110"/>
      <c r="AW33"/>
      <c r="AY33">
        <v>60</v>
      </c>
      <c r="AZ33">
        <f t="shared" si="12"/>
        <v>3600</v>
      </c>
      <c r="BA33" s="214">
        <v>425</v>
      </c>
      <c r="BB33" s="194">
        <v>29.200517756089937</v>
      </c>
      <c r="BC33" s="195">
        <v>37.200517756089937</v>
      </c>
      <c r="BD33" s="201">
        <v>10.4</v>
      </c>
      <c r="BE33" s="206">
        <v>108</v>
      </c>
      <c r="BF33">
        <f t="shared" ref="BF33:BF35" si="61">BF32</f>
        <v>1.0455861161341275E-3</v>
      </c>
      <c r="BG33">
        <f t="shared" si="55"/>
        <v>0.24822337676301406</v>
      </c>
      <c r="BH33">
        <f t="shared" si="56"/>
        <v>18.261195586967492</v>
      </c>
      <c r="BI33">
        <f t="shared" ref="BI33:BI35" si="62">BI32</f>
        <v>6.0535714285714307E-3</v>
      </c>
      <c r="BJ33">
        <f t="shared" si="57"/>
        <v>-0.37392857142857167</v>
      </c>
      <c r="BK33">
        <f t="shared" si="58"/>
        <v>11.120000000000001</v>
      </c>
      <c r="BL33">
        <f t="shared" ref="BL33:BL35" si="63">BL32</f>
        <v>5.1428571428571421E-2</v>
      </c>
      <c r="BM33">
        <f t="shared" si="59"/>
        <v>-3.3114285714285727</v>
      </c>
      <c r="BN33">
        <f t="shared" si="60"/>
        <v>122.40000000000012</v>
      </c>
      <c r="BP33" s="249">
        <f t="shared" si="18"/>
        <v>1.3754449722435579E-2</v>
      </c>
      <c r="BQ33" s="250">
        <f t="shared" si="32"/>
        <v>5.8456411320351211</v>
      </c>
      <c r="BR33" s="250">
        <f t="shared" si="6"/>
        <v>5.8456411320351211</v>
      </c>
      <c r="BS33" s="249">
        <f t="shared" si="33"/>
        <v>1.3754449722435579E-2</v>
      </c>
      <c r="BT33" s="251">
        <f t="shared" si="21"/>
        <v>0.86036853409244507</v>
      </c>
      <c r="BU33" s="101">
        <f t="shared" si="22"/>
        <v>17.385839101746313</v>
      </c>
    </row>
    <row r="34" spans="2:73" x14ac:dyDescent="0.3">
      <c r="B34" s="117">
        <f t="shared" si="54"/>
        <v>1480</v>
      </c>
      <c r="C34" s="253">
        <v>1.49</v>
      </c>
      <c r="D34" s="410"/>
      <c r="E34" s="412"/>
      <c r="F34" s="259">
        <f>'Calculation Tool'!F34</f>
        <v>40</v>
      </c>
      <c r="G34" s="120">
        <f t="shared" si="8"/>
        <v>495</v>
      </c>
      <c r="H34" s="305">
        <f>VLOOKUP('Calculation Tool'!$O$2,'Limits and Glycol'!$D$2:$E$12,2,0)*I$8^Konstanten!$E$4*$B34*$G34^Konstanten!$F$4*I$7^Konstanten!$G$4*H$8^Konstanten!$H$4*(Konstanten!$C$4-I$7^Konstanten!$I$4*Konstanten!$D$4)</f>
        <v>3967.4877317495052</v>
      </c>
      <c r="I34" s="287">
        <f>Konstanten!$C$23*(((($K$2+$K$3)*Konstanten!$I$23+$K$4)/(Konstanten!$I$23+2))^Konstanten!$D$23*$G34^Konstanten!$E$23*ABS($I$7)^Konstanten!$F$23+Konstanten!$H$23*($G34*$B34/C34)^Konstanten!$G$23)</f>
        <v>65.014160738656727</v>
      </c>
      <c r="J34" s="286">
        <f>3.6*H34/(I$7*Konstanten!$K$3)</f>
        <v>341.10723471261605</v>
      </c>
      <c r="K34" s="287">
        <f>'Limits and Glycol'!$M$8*0.0003326*J34^1.8063</f>
        <v>12.50498378592731</v>
      </c>
      <c r="L34" s="288">
        <f>VLOOKUP('Calculation Tool'!$O$2,'Limits and Glycol'!$D$2:$E$12,2,0)*I$8^Konstanten!$E$5*$B34*$G34^Konstanten!$F$5*I$7^Konstanten!$G$5*H$8^Konstanten!$H$5*(Konstanten!$C$5-I$7^Konstanten!$I$5*Konstanten!$D$5)</f>
        <v>2934.1027163555732</v>
      </c>
      <c r="M34" s="287">
        <f>Konstanten!$C$24*(((($K$2+$K$3)*Konstanten!$I$24+$K$4)/(Konstanten!$I$24+2))^Konstanten!$D$24*$G34^Konstanten!$E$24*ABS($I$7)^Konstanten!$F$24+Konstanten!$H$24*($G34*$B34/C34)^Konstanten!$G$24)</f>
        <v>52.07761688112582</v>
      </c>
      <c r="N34" s="286">
        <f>3.6*L34/(I$7*Konstanten!$K$3)</f>
        <v>252.26131285287988</v>
      </c>
      <c r="O34" s="287">
        <f>'Limits and Glycol'!$M$8*0.00057148*N34^1.764</f>
        <v>9.8597427857225668</v>
      </c>
      <c r="P34" s="257"/>
      <c r="Q34" s="257"/>
      <c r="R34" s="410"/>
      <c r="S34" s="259">
        <v>40</v>
      </c>
      <c r="T34" s="290">
        <f>IF(T$10="trocken",U34,IF(Konstanten!$A$18*(U$9^Konstanten!$B$18*U$8^Konstanten!$C$18*U34^Konstanten!$D$18*T$8^Konstanten!$E$18+U$7^Konstanten!$F$18)&lt;1,U34,U34*Konstanten!$A$18*(U$9^Konstanten!$B$18*U$8^Konstanten!$C$18*U34^Konstanten!$D$18*T$8^Konstanten!$E$18+U$7^Konstanten!$F$18)))</f>
        <v>809.82655567178858</v>
      </c>
      <c r="U34" s="290">
        <f>VLOOKUP('Calculation Tool'!$O$2,'Limits and Glycol'!$D$2:$E$12,2,0)*U$8^Konstanten!$E$6*$B34*$G34^Konstanten!$F$6*U$7^Konstanten!$G$6*T$8^Konstanten!$H$6*(Konstanten!$C$6-U$7^Konstanten!$I$6*Konstanten!$D$6)*(-0.00072478*G34 + 1.8694)</f>
        <v>809.82655567178858</v>
      </c>
      <c r="V34" s="287">
        <f t="shared" si="0"/>
        <v>18.020028613733821</v>
      </c>
      <c r="W34" s="286">
        <f>3.6*T34/(U$7*Konstanten!$K$3)</f>
        <v>348.12671856736443</v>
      </c>
      <c r="X34" s="287">
        <f>'Limits and Glycol'!$I$8*0.0003326*W34^1.8063</f>
        <v>12.973657599982021</v>
      </c>
      <c r="Y34" s="294">
        <f t="shared" si="25"/>
        <v>0</v>
      </c>
      <c r="Z34" s="281">
        <f t="shared" si="1"/>
        <v>92.08925246078239</v>
      </c>
      <c r="AA34" s="265">
        <f t="shared" si="2"/>
        <v>17.07048947957982</v>
      </c>
      <c r="AB34" s="289">
        <f>IF(T$10="trocken",AC34,IF(Konstanten!$A$18*(U$9^Konstanten!$B$18*U$8^Konstanten!$C$18*AC34^Konstanten!$D$18*T$8^Konstanten!$E$18+U$7^Konstanten!$F$18)&lt;1,AC34,AC34*Konstanten!$A$18*(U$9^Konstanten!$B$18*U$8^Konstanten!$C$18*AC34^Konstanten!$D$18*T$8^Konstanten!$E$18+U$7^Konstanten!$F$18)))</f>
        <v>768.98576461300729</v>
      </c>
      <c r="AC34" s="289">
        <f>VLOOKUP('Calculation Tool'!$O$2,'Limits and Glycol'!$D$2:$E$12,2,0)*U$8^Konstanten!$E$7*$B34*$G34^Konstanten!$F$7*U$7^Konstanten!$G$7*T$8^Konstanten!$H$7*(Konstanten!$C$7-U$7^Konstanten!$I$7*Konstanten!$D$7)*(-0.00072478*G34 + 1.8694)</f>
        <v>768.98576461300729</v>
      </c>
      <c r="AD34" s="287">
        <f t="shared" si="3"/>
        <v>18.498118061305156</v>
      </c>
      <c r="AE34" s="286">
        <f>3.6*AB34/(U$7*Konstanten!$K$3)</f>
        <v>330.57015602269144</v>
      </c>
      <c r="AF34" s="287">
        <f>'Limits and Glycol'!$I$8*0.00031286*AE34^1.7659</f>
        <v>8.7926079239279424</v>
      </c>
      <c r="AG34" s="294">
        <f t="shared" si="4"/>
        <v>0</v>
      </c>
      <c r="AH34" s="281">
        <f t="shared" si="9"/>
        <v>89.253878343260183</v>
      </c>
      <c r="AI34" s="265">
        <f t="shared" si="10"/>
        <v>17.213999569707767</v>
      </c>
      <c r="AJ34" s="127">
        <f t="shared" si="5"/>
        <v>170</v>
      </c>
      <c r="AK34" s="323">
        <f>IF(ISNUMBER(VLOOKUP(F34,$AY$31:$BA$35,3,0)),VLOOKUP(F34,$AY$31:$BA$35,3,0),ROUNDUP((0.5*(1-0.1*$I$8/85)*B34/C34*(G34-140)/1000)/5,0)*5)</f>
        <v>255</v>
      </c>
      <c r="AL34" s="265">
        <f t="shared" si="11"/>
        <v>19.972589973201991</v>
      </c>
      <c r="AM34" s="265">
        <f>IF(ISNUMBER(VLOOKUP(F34,$AY$31:$BC$35,5,0)),VLOOKUP(F34,$AY$31:$BC$35,5,0),F34^2*BF34+F34*BG34+BH34)</f>
        <v>27.972589973201991</v>
      </c>
      <c r="AN34" s="270">
        <f>IF(ISNUMBER(VLOOKUP(F34,$AY$31:$BD$35,6,0)),VLOOKUP(F34,$AY$31:$BD$35,6,0),F34^2*BI34+F34*BJ34+BK34)</f>
        <v>6.8</v>
      </c>
      <c r="AO34" s="276">
        <f>IF(ISNUMBER(VLOOKUP(F34,$AY$31:$BE$35,7,0)),VLOOKUP(F34,$AY$31:$BE$35,7,0),F34^2*BL34+F34*BM34+BN34)</f>
        <v>80</v>
      </c>
      <c r="AR34" s="110"/>
      <c r="AW34"/>
      <c r="AY34">
        <v>40</v>
      </c>
      <c r="AZ34">
        <f t="shared" si="12"/>
        <v>1600</v>
      </c>
      <c r="BA34" s="214">
        <v>255</v>
      </c>
      <c r="BB34" s="194">
        <v>19.972589973201991</v>
      </c>
      <c r="BC34" s="195">
        <v>27.972589973201991</v>
      </c>
      <c r="BD34" s="201">
        <v>6.8</v>
      </c>
      <c r="BE34" s="206">
        <v>80</v>
      </c>
      <c r="BF34">
        <f t="shared" si="61"/>
        <v>1.0455861161341275E-3</v>
      </c>
      <c r="BG34">
        <f t="shared" si="55"/>
        <v>0.24822337676301406</v>
      </c>
      <c r="BH34">
        <f t="shared" si="56"/>
        <v>18.261195586967492</v>
      </c>
      <c r="BI34">
        <f t="shared" si="62"/>
        <v>6.0535714285714307E-3</v>
      </c>
      <c r="BJ34">
        <f t="shared" si="57"/>
        <v>-0.37392857142857167</v>
      </c>
      <c r="BK34">
        <f t="shared" si="58"/>
        <v>11.120000000000001</v>
      </c>
      <c r="BL34">
        <f t="shared" si="63"/>
        <v>5.1428571428571421E-2</v>
      </c>
      <c r="BM34">
        <f t="shared" si="59"/>
        <v>-3.3114285714285727</v>
      </c>
      <c r="BN34">
        <f t="shared" si="60"/>
        <v>122.40000000000012</v>
      </c>
      <c r="BP34" s="249">
        <f t="shared" si="18"/>
        <v>1.3754449722435579E-2</v>
      </c>
      <c r="BQ34" s="250">
        <f t="shared" si="32"/>
        <v>3.5073846792210723</v>
      </c>
      <c r="BR34" s="250">
        <f t="shared" si="6"/>
        <v>3.5073846792210723</v>
      </c>
      <c r="BS34" s="249">
        <f t="shared" si="33"/>
        <v>1.3754449722435579E-2</v>
      </c>
      <c r="BT34" s="251">
        <f t="shared" si="21"/>
        <v>0.89253878343260185</v>
      </c>
      <c r="BU34" s="101">
        <f t="shared" si="22"/>
        <v>17.213999569707767</v>
      </c>
    </row>
    <row r="35" spans="2:73" x14ac:dyDescent="0.3">
      <c r="B35" s="117">
        <f t="shared" si="54"/>
        <v>1480</v>
      </c>
      <c r="C35" s="253">
        <v>1.66</v>
      </c>
      <c r="D35" s="413"/>
      <c r="E35" s="414"/>
      <c r="F35" s="260">
        <f>'Calculation Tool'!F35</f>
        <v>20</v>
      </c>
      <c r="G35" s="120">
        <f t="shared" si="8"/>
        <v>315</v>
      </c>
      <c r="H35" s="305">
        <f>VLOOKUP('Calculation Tool'!$O$2,'Limits and Glycol'!$D$2:$E$12,2,0)*I$8^Konstanten!$E$4*$B35*$G35^Konstanten!$F$4*I$7^Konstanten!$G$4*H$8^Konstanten!$H$4*(Konstanten!$C$4-I$7^Konstanten!$I$4*Konstanten!$D$4)</f>
        <v>2450.6794232527805</v>
      </c>
      <c r="I35" s="287">
        <f>Konstanten!$C$23*(((($K$2+$K$3)*Konstanten!$I$23+$K$4)/(Konstanten!$I$23+2))^Konstanten!$D$23*$G35^Konstanten!$E$23*ABS($I$7)^Konstanten!$F$23+Konstanten!$H$23*($G35*$B35/C35)^Konstanten!$G$23)</f>
        <v>68.581732809654298</v>
      </c>
      <c r="J35" s="282">
        <f>3.6*H35/(I$7*Konstanten!$K$3)</f>
        <v>210.69869341832751</v>
      </c>
      <c r="K35" s="287">
        <f>'Limits and Glycol'!$M$8*0.0003326*J35^1.8063</f>
        <v>5.2378448607089174</v>
      </c>
      <c r="L35" s="288">
        <f>VLOOKUP('Calculation Tool'!$O$2,'Limits and Glycol'!$D$2:$E$12,2,0)*I$8^Konstanten!$E$5*$B35*$G35^Konstanten!$F$5*I$7^Konstanten!$G$5*H$8^Konstanten!$H$5*(Konstanten!$C$5-I$7^Konstanten!$I$5*Konstanten!$D$5)</f>
        <v>2071.2665039032536</v>
      </c>
      <c r="M35" s="287">
        <f>Konstanten!$C$24*(((($K$2+$K$3)*Konstanten!$I$24+$K$4)/(Konstanten!$I$24+2))^Konstanten!$D$24*$G35^Konstanten!$E$24*ABS($I$7)^Konstanten!$F$24+Konstanten!$H$24*($G35*$B35/C35)^Konstanten!$G$24)</f>
        <v>59.125142661069098</v>
      </c>
      <c r="N35" s="282">
        <f>3.6*L35/(I$7*Konstanten!$K$3)</f>
        <v>178.07843080279864</v>
      </c>
      <c r="O35" s="287">
        <f>'Limits and Glycol'!$M$8*0.00057148*N35^1.764</f>
        <v>5.334324172327582</v>
      </c>
      <c r="P35" s="257"/>
      <c r="Q35" s="257"/>
      <c r="R35" s="413"/>
      <c r="S35" s="260">
        <v>20</v>
      </c>
      <c r="T35" s="292">
        <f>IF(T$10="trocken",U35,IF(Konstanten!$A$18*(U$9^Konstanten!$B$18*U$8^Konstanten!$C$18*U35^Konstanten!$D$18*T$8^Konstanten!$E$18+U$7^Konstanten!$F$18)&lt;1,U35,U35*Konstanten!$A$18*(U$9^Konstanten!$B$18*U$8^Konstanten!$C$18*U35^Konstanten!$D$18*T$8^Konstanten!$E$18+U$7^Konstanten!$F$18)))</f>
        <v>454.36467240233918</v>
      </c>
      <c r="U35" s="292">
        <f>VLOOKUP('Calculation Tool'!$O$2,'Limits and Glycol'!$D$2:$E$12,2,0)*U$8^Konstanten!$E$6*$B35*$G35^Konstanten!$F$6*U$7^Konstanten!$G$6*T$8^Konstanten!$H$6*(Konstanten!$C$6-U$7^Konstanten!$I$6*Konstanten!$D$6)*(-0.00072478*G35 + 1.8694)</f>
        <v>454.36467240233918</v>
      </c>
      <c r="V35" s="284">
        <f t="shared" si="0"/>
        <v>16.649500360541154</v>
      </c>
      <c r="W35" s="282">
        <f>3.6*T35/(U$7*Konstanten!$K$3)</f>
        <v>195.32143189000163</v>
      </c>
      <c r="X35" s="284">
        <f>'Limits and Glycol'!$I$8*0.0003326*W35^1.8063</f>
        <v>4.5677653758412742</v>
      </c>
      <c r="Y35" s="295">
        <f t="shared" si="25"/>
        <v>0</v>
      </c>
      <c r="Z35" s="282">
        <f t="shared" si="1"/>
        <v>100.75525032865379</v>
      </c>
      <c r="AA35" s="284">
        <f t="shared" si="2"/>
        <v>16.672080000379111</v>
      </c>
      <c r="AB35" s="291">
        <f>IF(T$10="trocken",AC35,IF(Konstanten!$A$18*(U$9^Konstanten!$B$18*U$8^Konstanten!$C$18*AC35^Konstanten!$D$18*T$8^Konstanten!$E$18+U$7^Konstanten!$F$18)&lt;1,AC35,AC35*Konstanten!$A$18*(U$9^Konstanten!$B$18*U$8^Konstanten!$C$18*AC35^Konstanten!$D$18*T$8^Konstanten!$E$18+U$7^Konstanten!$F$18)))</f>
        <v>436.0285353362338</v>
      </c>
      <c r="AC35" s="291">
        <f>VLOOKUP('Calculation Tool'!$O$2,'Limits and Glycol'!$D$2:$E$12,2,0)*U$8^Konstanten!$E$7*$B35*$G35^Konstanten!$F$7*U$7^Konstanten!$G$7*T$8^Konstanten!$H$7*(Konstanten!$C$7-U$7^Konstanten!$I$7*Konstanten!$D$7)*(-0.00072478*G35 + 1.8694)</f>
        <v>436.0285353362338</v>
      </c>
      <c r="AD35" s="284">
        <f t="shared" si="3"/>
        <v>17.087378260627254</v>
      </c>
      <c r="AE35" s="282">
        <f>3.6*AB35/(U$7*Konstanten!$K$3)</f>
        <v>187.43912773077406</v>
      </c>
      <c r="AF35" s="284">
        <f>'Limits and Glycol'!$I$8*0.00031286*AE35^1.7659</f>
        <v>3.2284492547236252</v>
      </c>
      <c r="AG35" s="295">
        <f t="shared" si="4"/>
        <v>0</v>
      </c>
      <c r="AH35" s="282">
        <f t="shared" si="9"/>
        <v>97.89681042323673</v>
      </c>
      <c r="AI35" s="284">
        <f t="shared" si="10"/>
        <v>16.797317142837215</v>
      </c>
      <c r="AJ35" s="254">
        <f t="shared" si="5"/>
        <v>75</v>
      </c>
      <c r="AK35" s="323">
        <f>IF(ISNUMBER(VLOOKUP(F35,$AY$31:$BA$35,3,0)),VLOOKUP(F35,$AY$31:$BA$35,3,0),ROUNDUP((0.5*(1-0.1*$I$8/85)*B35/C35*(G35-140)/1000)/5,0)*5)</f>
        <v>125</v>
      </c>
      <c r="AL35" s="266">
        <f t="shared" si="11"/>
        <v>16.542168546188638</v>
      </c>
      <c r="AM35" s="266">
        <f>IF(ISNUMBER(VLOOKUP(F35,$AY$31:$BC$35,5,0)),VLOOKUP(F35,$AY$31:$BC$35,5,0),F35^2*BF35+F35*BG35+BH35)</f>
        <v>24.542168546188638</v>
      </c>
      <c r="AN35" s="272">
        <f>IF(ISNUMBER(VLOOKUP(F35,$AY$31:$BD$35,6,0)),VLOOKUP(F35,$AY$31:$BD$35,6,0),F35^2*BI35+F35*BJ35+BK35)</f>
        <v>5.6</v>
      </c>
      <c r="AO35" s="278">
        <f>IF(ISNUMBER(VLOOKUP(F35,$AY$31:$BE$35,7,0)),VLOOKUP(F35,$AY$31:$BE$35,7,0),F35^2*BL35+F35*BM35+BN35)</f>
        <v>73</v>
      </c>
      <c r="AR35" s="110"/>
      <c r="AW35"/>
      <c r="AY35">
        <v>20</v>
      </c>
      <c r="AZ35">
        <f t="shared" si="12"/>
        <v>400</v>
      </c>
      <c r="BA35" s="215">
        <v>125</v>
      </c>
      <c r="BB35" s="196">
        <v>16.542168546188638</v>
      </c>
      <c r="BC35" s="197">
        <v>24.542168546188638</v>
      </c>
      <c r="BD35" s="202">
        <v>5.6</v>
      </c>
      <c r="BE35" s="208">
        <v>73</v>
      </c>
      <c r="BF35">
        <f t="shared" si="61"/>
        <v>1.0455861161341275E-3</v>
      </c>
      <c r="BG35">
        <f t="shared" si="55"/>
        <v>0.24822337676301406</v>
      </c>
      <c r="BH35">
        <f t="shared" si="56"/>
        <v>18.261195586967492</v>
      </c>
      <c r="BI35">
        <f t="shared" si="62"/>
        <v>6.0535714285714307E-3</v>
      </c>
      <c r="BJ35">
        <f t="shared" si="57"/>
        <v>-0.37392857142857167</v>
      </c>
      <c r="BK35">
        <f t="shared" si="58"/>
        <v>11.120000000000001</v>
      </c>
      <c r="BL35">
        <f t="shared" si="63"/>
        <v>5.1428571428571421E-2</v>
      </c>
      <c r="BM35">
        <f t="shared" si="59"/>
        <v>-3.3114285714285727</v>
      </c>
      <c r="BN35">
        <f t="shared" si="60"/>
        <v>122.40000000000012</v>
      </c>
      <c r="BP35" s="249">
        <f t="shared" si="18"/>
        <v>1.3754449722435579E-2</v>
      </c>
      <c r="BQ35" s="250">
        <f t="shared" si="32"/>
        <v>1.7193062153044474</v>
      </c>
      <c r="BR35" s="250">
        <f t="shared" si="6"/>
        <v>1.7193062153044474</v>
      </c>
      <c r="BS35" s="249">
        <f t="shared" si="33"/>
        <v>1.3754449722435579E-2</v>
      </c>
      <c r="BT35" s="251">
        <f t="shared" si="21"/>
        <v>0.97896810423236724</v>
      </c>
      <c r="BU35" s="101">
        <f t="shared" si="22"/>
        <v>16.797317142837215</v>
      </c>
    </row>
    <row r="36" spans="2:73" x14ac:dyDescent="0.3">
      <c r="B36" s="117">
        <f>IF(ISNUMBER(VLOOKUP($E$36,$AV$16:$AW$41,2,0)),VLOOKUP($E$36,$AV$16:$AW$41,2,0),$E$36*(1+$AX$14))</f>
        <v>1890</v>
      </c>
      <c r="C36" s="253">
        <v>1</v>
      </c>
      <c r="D36" s="409">
        <v>2500</v>
      </c>
      <c r="E36" s="411">
        <v>1690</v>
      </c>
      <c r="F36" s="259">
        <f>'Calculation Tool'!F36</f>
        <v>100</v>
      </c>
      <c r="G36" s="120">
        <f t="shared" si="8"/>
        <v>1205</v>
      </c>
      <c r="H36" s="305">
        <f>VLOOKUP('Calculation Tool'!$O$2,'Limits and Glycol'!$D$2:$E$12,2,0)*I$8^Konstanten!$E$4*$B36*$G36^Konstanten!$F$4*I$7^Konstanten!$G$4*H$8^Konstanten!$H$4*(Konstanten!$C$4-I$7^Konstanten!$I$4*Konstanten!$D$4)</f>
        <v>13078.483486813007</v>
      </c>
      <c r="I36" s="285">
        <f>Konstanten!$C$23*(((($K$2+$K$3)*Konstanten!$I$23+$K$4)/(Konstanten!$I$23+2))^Konstanten!$D$23*$G36^Konstanten!$E$23*ABS($I$7)^Konstanten!$F$23+Konstanten!$H$23*($G36*$B36/C36)^Konstanten!$G$23)</f>
        <v>58.735908017045432</v>
      </c>
      <c r="J36" s="286">
        <f>3.6*H36/(I$7*Konstanten!$K$3)</f>
        <v>1124.4307829161705</v>
      </c>
      <c r="K36" s="285">
        <f>'Limits and Glycol'!$M$8*0.00015861*J36^1.7759</f>
        <v>41.541482781515477</v>
      </c>
      <c r="L36" s="288">
        <f>VLOOKUP('Calculation Tool'!$O$2,'Limits and Glycol'!$D$2:$E$12,2,0)*I$8^Konstanten!$E$5*$B36*$G36^Konstanten!$F$5*I$7^Konstanten!$G$5*H$8^Konstanten!$H$5*(Konstanten!$C$5-I$7^Konstanten!$I$5*Konstanten!$D$5)</f>
        <v>7436.5484372520195</v>
      </c>
      <c r="M36" s="285">
        <f>Konstanten!$C$24*(((($K$2+$K$3)*Konstanten!$I$24+$K$4)/(Konstanten!$I$24+2))^Konstanten!$D$24*$G36^Konstanten!$E$24*ABS($I$7)^Konstanten!$F$24+Konstanten!$H$24*($G36*$B36/C36)^Konstanten!$G$24)</f>
        <v>43.030114543682906</v>
      </c>
      <c r="N36" s="286">
        <f>3.6*L36/(I$7*Konstanten!$K$3)</f>
        <v>639.36189466650114</v>
      </c>
      <c r="O36" s="285">
        <f>'Limits and Glycol'!$M$8*0.00077444*N36^1.7521</f>
        <v>63.817039841230311</v>
      </c>
      <c r="P36" s="257"/>
      <c r="Q36" s="257"/>
      <c r="R36" s="409">
        <v>2500</v>
      </c>
      <c r="S36" s="259">
        <v>100</v>
      </c>
      <c r="T36" s="290">
        <f>IF(T$10="trocken",U36,IF(Konstanten!$A$18*(U$9^Konstanten!$B$18*U$8^Konstanten!$C$18*U36^Konstanten!$D$18*T$8^Konstanten!$E$18+U$7^Konstanten!$F$18)&lt;1,U36,U36*Konstanten!$A$18*(U$9^Konstanten!$B$18*U$8^Konstanten!$C$18*U36^Konstanten!$D$18*T$8^Konstanten!$E$18+U$7^Konstanten!$F$18)))</f>
        <v>2503.5635412844745</v>
      </c>
      <c r="U36" s="290">
        <f>VLOOKUP('Calculation Tool'!$O$2,'Limits and Glycol'!$D$2:$E$12,2,0)*U$8^Konstanten!$E$6*$B36*$G36^Konstanten!$F$6*U$7^Konstanten!$G$6*T$8^Konstanten!$H$6*(Konstanten!$C$6-U$7^Konstanten!$I$6*Konstanten!$D$6)*(-0.00072478*G36 + 1.8694)</f>
        <v>2503.5635412844745</v>
      </c>
      <c r="V36" s="287">
        <f t="shared" si="0"/>
        <v>19.835052303759742</v>
      </c>
      <c r="W36" s="286">
        <f>3.6*T36/(U$7*Konstanten!$K$3)</f>
        <v>1076.2271924131426</v>
      </c>
      <c r="X36" s="287">
        <f>'Limits and Glycol'!$I$8*0.00015861*W36^1.7759</f>
        <v>38.431630419464014</v>
      </c>
      <c r="Y36" s="294">
        <f t="shared" si="25"/>
        <v>0</v>
      </c>
      <c r="Z36" s="283">
        <f t="shared" si="1"/>
        <v>81.80211330910079</v>
      </c>
      <c r="AA36" s="285">
        <f t="shared" si="2"/>
        <v>17.628201615780672</v>
      </c>
      <c r="AB36" s="289">
        <f>IF(T$10="trocken",AC36,IF(Konstanten!$A$18*(U$9^Konstanten!$B$18*U$8^Konstanten!$C$18*AC36^Konstanten!$D$18*T$8^Konstanten!$E$18+U$7^Konstanten!$F$18)&lt;1,AC36,AC36*Konstanten!$A$18*(U$9^Konstanten!$B$18*U$8^Konstanten!$C$18*AC36^Konstanten!$D$18*T$8^Konstanten!$E$18+U$7^Konstanten!$F$18)))</f>
        <v>2328.4221896261724</v>
      </c>
      <c r="AC36" s="289">
        <f>VLOOKUP('Calculation Tool'!$O$2,'Limits and Glycol'!$D$2:$E$12,2,0)*U$8^Konstanten!$E$7*$B36*$G36^Konstanten!$F$7*U$7^Konstanten!$G$7*T$8^Konstanten!$H$7*(Konstanten!$C$7-U$7^Konstanten!$I$7*Konstanten!$D$7)*(-0.00072478*G36 + 1.8694)</f>
        <v>2328.4221896261724</v>
      </c>
      <c r="AD36" s="287">
        <f t="shared" si="3"/>
        <v>20.371267693452207</v>
      </c>
      <c r="AE36" s="286">
        <f>3.6*AB36/(U$7*Konstanten!$K$3)</f>
        <v>1000.9377571492189</v>
      </c>
      <c r="AF36" s="287">
        <f>'Limits and Glycol'!$I$8*0.000092533*AE36^1.8158</f>
        <v>25.967838636008299</v>
      </c>
      <c r="AG36" s="294">
        <f t="shared" si="4"/>
        <v>0</v>
      </c>
      <c r="AH36" s="283">
        <f t="shared" si="9"/>
        <v>79.000017382868691</v>
      </c>
      <c r="AI36" s="285">
        <f t="shared" si="10"/>
        <v>17.799766096223959</v>
      </c>
      <c r="AJ36" s="127">
        <f t="shared" si="5"/>
        <v>950</v>
      </c>
      <c r="AK36" s="324">
        <f>IF(ISNUMBER(VLOOKUP(F36,$AY$36:$BA$40,3,0)),VLOOKUP(F36,$AY$36:$BA$40,3,0),ROUNDUP((0.5*(1-0.1*$I$8/85)*B36/C36*(G36-140)/1000)/5,0)*5)</f>
        <v>975</v>
      </c>
      <c r="AL36" s="265">
        <f t="shared" si="11"/>
        <v>45.841214051768304</v>
      </c>
      <c r="AM36" s="265">
        <f>IF(ISNUMBER(VLOOKUP(F36,$AY$36:$BC$40,5,0)),VLOOKUP(F36,$AY$36:$BC$40,5,0),F36^2*BF36+F36*BG36+BH36)</f>
        <v>53.841214051768304</v>
      </c>
      <c r="AN36" s="273">
        <f>IF(ISNUMBER(VLOOKUP(F36,$AY$36:$BD$40,6,0)),VLOOKUP(F36,$AY$36:$BD$40,6,0),F36^2*BI36+F36*BJ36+BK36)</f>
        <v>43.1</v>
      </c>
      <c r="AO36" s="279">
        <f>IF(ISNUMBER(VLOOKUP(F36,$AY$36:$BE$40,7,0)),VLOOKUP(F36,$AY$36:$BE$40,7,0),F36^2*BL36+F36*BM36+BN36)</f>
        <v>383</v>
      </c>
      <c r="AR36" s="110"/>
      <c r="AV36" s="109">
        <f>380+630+680</f>
        <v>1690</v>
      </c>
      <c r="AW36">
        <v>1890</v>
      </c>
      <c r="AX36">
        <f t="shared" si="31"/>
        <v>0.11834319526627218</v>
      </c>
      <c r="AY36">
        <v>100</v>
      </c>
      <c r="AZ36">
        <f t="shared" si="12"/>
        <v>10000</v>
      </c>
      <c r="BA36" s="214">
        <v>975</v>
      </c>
      <c r="BB36" s="194">
        <v>45.841214051768304</v>
      </c>
      <c r="BC36" s="195">
        <v>53.841214051768304</v>
      </c>
      <c r="BD36" s="204">
        <v>43.1</v>
      </c>
      <c r="BE36" s="209">
        <v>383</v>
      </c>
      <c r="BF36">
        <f t="array" ref="BF36:BH36">LINEST(BC36:BC40,AY36:AZ40)</f>
        <v>1.0455861161341297E-3</v>
      </c>
      <c r="BG36">
        <v>0.2482233767630137</v>
      </c>
      <c r="BH36">
        <v>19.367349676546596</v>
      </c>
      <c r="BI36">
        <f t="array" ref="BI36:BK36">LINEST(BD36:BD40,AY36:AZ40)</f>
        <v>7.5178571428571421E-3</v>
      </c>
      <c r="BJ36">
        <v>-0.46364285714285725</v>
      </c>
      <c r="BK36">
        <v>13.740000000000016</v>
      </c>
      <c r="BL36">
        <f t="array" ref="BL36:BN36">LINEST(BE36:BE40,AY36:AZ40)</f>
        <v>6.3392857142857126E-2</v>
      </c>
      <c r="BM36">
        <v>-4.0521428571428562</v>
      </c>
      <c r="BN36">
        <v>150.20000000000005</v>
      </c>
      <c r="BP36" s="249">
        <f t="shared" si="18"/>
        <v>1.3754449722435579E-2</v>
      </c>
      <c r="BQ36" s="250">
        <f t="shared" si="32"/>
        <v>13.41058847937469</v>
      </c>
      <c r="BR36" s="250">
        <f t="shared" si="6"/>
        <v>13.41058847937469</v>
      </c>
      <c r="BS36" s="249">
        <f t="shared" si="33"/>
        <v>1.3754449722435579E-2</v>
      </c>
      <c r="BT36" s="251">
        <f t="shared" si="21"/>
        <v>0.79000017382868692</v>
      </c>
      <c r="BU36" s="101">
        <f t="shared" si="22"/>
        <v>17.799766096223959</v>
      </c>
    </row>
    <row r="37" spans="2:73" x14ac:dyDescent="0.3">
      <c r="B37" s="117">
        <f t="shared" ref="B37:B40" si="64">IF(ISNUMBER(VLOOKUP($E$36,$AV$16:$AW$41,2,0)),VLOOKUP($E$36,$AV$16:$AW$41,2,0),$E$36*(1+$AX$14))</f>
        <v>1890</v>
      </c>
      <c r="C37" s="253">
        <v>1.1599999999999999</v>
      </c>
      <c r="D37" s="410"/>
      <c r="E37" s="412"/>
      <c r="F37" s="259">
        <f>'Calculation Tool'!F37</f>
        <v>80</v>
      </c>
      <c r="G37" s="120">
        <f t="shared" si="8"/>
        <v>985</v>
      </c>
      <c r="H37" s="305">
        <f>VLOOKUP('Calculation Tool'!$O$2,'Limits and Glycol'!$D$2:$E$12,2,0)*I$8^Konstanten!$E$4*$B37*$G37^Konstanten!$F$4*I$7^Konstanten!$G$4*H$8^Konstanten!$H$4*(Konstanten!$C$4-I$7^Konstanten!$I$4*Konstanten!$D$4)</f>
        <v>10549.638692072907</v>
      </c>
      <c r="I37" s="287">
        <f>Konstanten!$C$23*(((($K$2+$K$3)*Konstanten!$I$23+$K$4)/(Konstanten!$I$23+2))^Konstanten!$D$23*$G37^Konstanten!$E$23*ABS($I$7)^Konstanten!$F$23+Konstanten!$H$23*($G37*$B37/C37)^Konstanten!$G$23)</f>
        <v>60.086589522276746</v>
      </c>
      <c r="J37" s="286">
        <f>3.6*H37/(I$7*Konstanten!$K$3)</f>
        <v>907.01177288414374</v>
      </c>
      <c r="K37" s="287">
        <f>'Limits and Glycol'!$M$8*0.00015861*J37^1.7759</f>
        <v>28.363208478129192</v>
      </c>
      <c r="L37" s="288">
        <f>VLOOKUP('Calculation Tool'!$O$2,'Limits and Glycol'!$D$2:$E$12,2,0)*I$8^Konstanten!$E$5*$B37*$G37^Konstanten!$F$5*I$7^Konstanten!$G$5*H$8^Konstanten!$H$5*(Konstanten!$C$5-I$7^Konstanten!$I$5*Konstanten!$D$5)</f>
        <v>6366.7243300397722</v>
      </c>
      <c r="M37" s="287">
        <f>Konstanten!$C$24*(((($K$2+$K$3)*Konstanten!$I$24+$K$4)/(Konstanten!$I$24+2))^Konstanten!$D$24*$G37^Konstanten!$E$24*ABS($I$7)^Konstanten!$F$24+Konstanten!$H$24*($G37*$B37/C37)^Konstanten!$G$24)</f>
        <v>44.644920857354393</v>
      </c>
      <c r="N37" s="286">
        <f>3.6*L37/(I$7*Konstanten!$K$3)</f>
        <v>547.3830991380911</v>
      </c>
      <c r="O37" s="287">
        <f>'Limits and Glycol'!$M$8*0.00077444*N37^1.7521</f>
        <v>48.612517264663232</v>
      </c>
      <c r="P37" s="257"/>
      <c r="Q37" s="257"/>
      <c r="R37" s="410"/>
      <c r="S37" s="259">
        <v>80</v>
      </c>
      <c r="T37" s="290">
        <f>IF(T$10="trocken",U37,IF(Konstanten!$A$18*(U$9^Konstanten!$B$18*U$8^Konstanten!$C$18*U37^Konstanten!$D$18*T$8^Konstanten!$E$18+U$7^Konstanten!$F$18)&lt;1,U37,U37*Konstanten!$A$18*(U$9^Konstanten!$B$18*U$8^Konstanten!$C$18*U37^Konstanten!$D$18*T$8^Konstanten!$E$18+U$7^Konstanten!$F$18)))</f>
        <v>2163.010859222642</v>
      </c>
      <c r="U37" s="290">
        <f>VLOOKUP('Calculation Tool'!$O$2,'Limits and Glycol'!$D$2:$E$12,2,0)*U$8^Konstanten!$E$6*$B37*$G37^Konstanten!$F$6*U$7^Konstanten!$G$6*T$8^Konstanten!$H$6*(Konstanten!$C$6-U$7^Konstanten!$I$6*Konstanten!$D$6)*(-0.00072478*G37 + 1.8694)</f>
        <v>2163.010859222642</v>
      </c>
      <c r="V37" s="287">
        <f t="shared" si="0"/>
        <v>19.168711182580097</v>
      </c>
      <c r="W37" s="286">
        <f>3.6*T37/(U$7*Konstanten!$K$3)</f>
        <v>929.83104514534477</v>
      </c>
      <c r="X37" s="287">
        <f>'Limits and Glycol'!$I$8*0.00015861*W37^1.7759</f>
        <v>29.642805459426484</v>
      </c>
      <c r="Y37" s="294">
        <f t="shared" si="25"/>
        <v>0</v>
      </c>
      <c r="Z37" s="281">
        <f t="shared" si="1"/>
        <v>85.430698083103124</v>
      </c>
      <c r="AA37" s="265">
        <f t="shared" si="2"/>
        <v>17.419361316121918</v>
      </c>
      <c r="AB37" s="289">
        <f>IF(T$10="trocken",AC37,IF(Konstanten!$A$18*(U$9^Konstanten!$B$18*U$8^Konstanten!$C$18*AC37^Konstanten!$D$18*T$8^Konstanten!$E$18+U$7^Konstanten!$F$18)&lt;1,AC37,AC37*Konstanten!$A$18*(U$9^Konstanten!$B$18*U$8^Konstanten!$C$18*AC37^Konstanten!$D$18*T$8^Konstanten!$E$18+U$7^Konstanten!$F$18)))</f>
        <v>2021.1864822416012</v>
      </c>
      <c r="AC37" s="289">
        <f>VLOOKUP('Calculation Tool'!$O$2,'Limits and Glycol'!$D$2:$E$12,2,0)*U$8^Konstanten!$E$7*$B37*$G37^Konstanten!$F$7*U$7^Konstanten!$G$7*T$8^Konstanten!$H$7*(Konstanten!$C$7-U$7^Konstanten!$I$7*Konstanten!$D$7)*(-0.00072478*G37 + 1.8694)</f>
        <v>2021.1864822416012</v>
      </c>
      <c r="AD37" s="287">
        <f t="shared" si="3"/>
        <v>19.71497743960866</v>
      </c>
      <c r="AE37" s="286">
        <f>3.6*AB37/(U$7*Konstanten!$K$3)</f>
        <v>868.86384837280434</v>
      </c>
      <c r="AF37" s="287">
        <f>'Limits and Glycol'!$I$8*0.000092533*AE37^1.8158</f>
        <v>20.083767698154862</v>
      </c>
      <c r="AG37" s="294">
        <f t="shared" si="4"/>
        <v>0</v>
      </c>
      <c r="AH37" s="281">
        <f t="shared" si="9"/>
        <v>82.443805117451205</v>
      </c>
      <c r="AI37" s="265">
        <f t="shared" si="10"/>
        <v>17.590213245997536</v>
      </c>
      <c r="AJ37" s="127">
        <f t="shared" si="5"/>
        <v>650</v>
      </c>
      <c r="AK37" s="323">
        <f>IF(ISNUMBER(VLOOKUP(F37,$AY$36:$BA$40,3,0)),VLOOKUP(F37,$AY$36:$BA$40,3,0),ROUNDUP((0.5*(1-0.1*$I$8/85)*B37/C37*(G37-140)/1000)/5,0)*5)</f>
        <v>775</v>
      </c>
      <c r="AL37" s="265">
        <f t="shared" si="11"/>
        <v>39.431703370601809</v>
      </c>
      <c r="AM37" s="265">
        <f>IF(ISNUMBER(VLOOKUP(F37,$AY$36:$BC$40,5,0)),VLOOKUP(F37,$AY$36:$BC$40,5,0),F37^2*BF37+F37*BG37+BH37)</f>
        <v>47.431703370601809</v>
      </c>
      <c r="AN37" s="270">
        <f>IF(ISNUMBER(VLOOKUP(F37,$AY$36:$BD$40,6,0)),VLOOKUP(F37,$AY$36:$BD$40,6,0),F37^2*BI37+F37*BJ37+BK37)</f>
        <v>23.7</v>
      </c>
      <c r="AO37" s="276">
        <f>IF(ISNUMBER(VLOOKUP(F37,$AY$36:$BE$40,7,0)),VLOOKUP(F37,$AY$36:$BE$40,7,0),F37^2*BL37+F37*BM37+BN37)</f>
        <v>224</v>
      </c>
      <c r="AR37" s="110"/>
      <c r="AW37"/>
      <c r="AY37">
        <v>80</v>
      </c>
      <c r="AZ37">
        <f t="shared" si="12"/>
        <v>6400</v>
      </c>
      <c r="BA37" s="214">
        <v>775</v>
      </c>
      <c r="BB37" s="194">
        <v>39.431703370601809</v>
      </c>
      <c r="BC37" s="195">
        <v>47.431703370601809</v>
      </c>
      <c r="BD37" s="201">
        <v>23.7</v>
      </c>
      <c r="BE37" s="206">
        <v>224</v>
      </c>
      <c r="BF37">
        <f>BF36</f>
        <v>1.0455861161341297E-3</v>
      </c>
      <c r="BG37">
        <f t="shared" ref="BG37:BG40" si="65">BG36</f>
        <v>0.2482233767630137</v>
      </c>
      <c r="BH37">
        <f t="shared" ref="BH37:BH40" si="66">BH36</f>
        <v>19.367349676546596</v>
      </c>
      <c r="BI37">
        <f>BI36</f>
        <v>7.5178571428571421E-3</v>
      </c>
      <c r="BJ37">
        <f t="shared" ref="BJ37:BJ40" si="67">BJ36</f>
        <v>-0.46364285714285725</v>
      </c>
      <c r="BK37">
        <f t="shared" ref="BK37:BK40" si="68">BK36</f>
        <v>13.740000000000016</v>
      </c>
      <c r="BL37">
        <f>BL36</f>
        <v>6.3392857142857126E-2</v>
      </c>
      <c r="BM37">
        <f t="shared" ref="BM37:BM40" si="69">BM36</f>
        <v>-4.0521428571428562</v>
      </c>
      <c r="BN37">
        <f t="shared" ref="BN37:BN40" si="70">BN36</f>
        <v>150.20000000000005</v>
      </c>
      <c r="BP37" s="249">
        <f t="shared" si="18"/>
        <v>1.3754449722435579E-2</v>
      </c>
      <c r="BQ37" s="250">
        <f t="shared" si="32"/>
        <v>10.659698534887573</v>
      </c>
      <c r="BR37" s="250">
        <f t="shared" si="6"/>
        <v>10.659698534887573</v>
      </c>
      <c r="BS37" s="249">
        <f t="shared" si="33"/>
        <v>1.3754449722435579E-2</v>
      </c>
      <c r="BT37" s="251">
        <f t="shared" si="21"/>
        <v>0.82443805117451197</v>
      </c>
      <c r="BU37" s="101">
        <f t="shared" si="22"/>
        <v>17.590213245997532</v>
      </c>
    </row>
    <row r="38" spans="2:73" x14ac:dyDescent="0.3">
      <c r="B38" s="117">
        <f t="shared" si="64"/>
        <v>1890</v>
      </c>
      <c r="C38" s="253">
        <v>1.33</v>
      </c>
      <c r="D38" s="410"/>
      <c r="E38" s="412"/>
      <c r="F38" s="259">
        <f>'Calculation Tool'!F38</f>
        <v>60</v>
      </c>
      <c r="G38" s="120">
        <f t="shared" si="8"/>
        <v>735</v>
      </c>
      <c r="H38" s="305">
        <f>VLOOKUP('Calculation Tool'!$O$2,'Limits and Glycol'!$D$2:$E$12,2,0)*I$8^Konstanten!$E$4*$B38*$G38^Konstanten!$F$4*I$7^Konstanten!$G$4*H$8^Konstanten!$H$4*(Konstanten!$C$4-I$7^Konstanten!$I$4*Konstanten!$D$4)</f>
        <v>7721.6564055195277</v>
      </c>
      <c r="I38" s="287">
        <f>Konstanten!$C$23*(((($K$2+$K$3)*Konstanten!$I$23+$K$4)/(Konstanten!$I$23+2))^Konstanten!$D$23*$G38^Konstanten!$E$23*ABS($I$7)^Konstanten!$F$23+Konstanten!$H$23*($G38*$B38/C38)^Konstanten!$G$23)</f>
        <v>62.142846103982421</v>
      </c>
      <c r="J38" s="286">
        <f>3.6*H38/(I$7*Konstanten!$K$3)</f>
        <v>663.87423023644067</v>
      </c>
      <c r="K38" s="287">
        <f>'Limits and Glycol'!$M$8*0.00015861*J38^1.7759</f>
        <v>16.295690087689113</v>
      </c>
      <c r="L38" s="288">
        <f>VLOOKUP('Calculation Tool'!$O$2,'Limits and Glycol'!$D$2:$E$12,2,0)*I$8^Konstanten!$E$5*$B38*$G38^Konstanten!$F$5*I$7^Konstanten!$G$5*H$8^Konstanten!$H$5*(Konstanten!$C$5-I$7^Konstanten!$I$5*Konstanten!$D$5)</f>
        <v>5081.0271137602422</v>
      </c>
      <c r="M38" s="287">
        <f>Konstanten!$C$24*(((($K$2+$K$3)*Konstanten!$I$24+$K$4)/(Konstanten!$I$24+2))^Konstanten!$D$24*$G38^Konstanten!$E$24*ABS($I$7)^Konstanten!$F$24+Konstanten!$H$24*($G38*$B38/C38)^Konstanten!$G$24)</f>
        <v>47.580859434539562</v>
      </c>
      <c r="N38" s="286">
        <f>3.6*L38/(I$7*Konstanten!$K$3)</f>
        <v>436.84447828407508</v>
      </c>
      <c r="O38" s="287">
        <f>'Limits and Glycol'!$M$8*0.00077444*N38^1.7521</f>
        <v>32.741943234521969</v>
      </c>
      <c r="P38" s="257"/>
      <c r="Q38" s="257"/>
      <c r="R38" s="410"/>
      <c r="S38" s="259">
        <v>60</v>
      </c>
      <c r="T38" s="290">
        <f>IF(T$10="trocken",U38,IF(Konstanten!$A$18*(U$9^Konstanten!$B$18*U$8^Konstanten!$C$18*U38^Konstanten!$D$18*T$8^Konstanten!$E$18+U$7^Konstanten!$F$18)&lt;1,U38,U38*Konstanten!$A$18*(U$9^Konstanten!$B$18*U$8^Konstanten!$C$18*U38^Konstanten!$D$18*T$8^Konstanten!$E$18+U$7^Konstanten!$F$18)))</f>
        <v>1630.9604212195452</v>
      </c>
      <c r="U38" s="290">
        <f>VLOOKUP('Calculation Tool'!$O$2,'Limits and Glycol'!$D$2:$E$12,2,0)*U$8^Konstanten!$E$6*$B38*$G38^Konstanten!$F$6*U$7^Konstanten!$G$6*T$8^Konstanten!$H$6*(Konstanten!$C$6-U$7^Konstanten!$I$6*Konstanten!$D$6)*(-0.00072478*G38 + 1.8694)</f>
        <v>1630.9604212195452</v>
      </c>
      <c r="V38" s="287">
        <f t="shared" si="0"/>
        <v>18.566901704945664</v>
      </c>
      <c r="W38" s="286">
        <f>3.6*T38/(U$7*Konstanten!$K$3)</f>
        <v>701.11420226446671</v>
      </c>
      <c r="X38" s="287">
        <f>'Limits and Glycol'!$I$8*0.00015861*W38^1.7759</f>
        <v>17.954231975632727</v>
      </c>
      <c r="Y38" s="294">
        <f t="shared" si="25"/>
        <v>0</v>
      </c>
      <c r="Z38" s="281">
        <f t="shared" si="1"/>
        <v>88.853570027932676</v>
      </c>
      <c r="AA38" s="265">
        <f t="shared" si="2"/>
        <v>17.234844052493621</v>
      </c>
      <c r="AB38" s="289">
        <f>IF(T$10="trocken",AC38,IF(Konstanten!$A$18*(U$9^Konstanten!$B$18*U$8^Konstanten!$C$18*AC38^Konstanten!$D$18*T$8^Konstanten!$E$18+U$7^Konstanten!$F$18)&lt;1,AC38,AC38*Konstanten!$A$18*(U$9^Konstanten!$B$18*U$8^Konstanten!$C$18*AC38^Konstanten!$D$18*T$8^Konstanten!$E$18+U$7^Konstanten!$F$18)))</f>
        <v>1534.4771134029656</v>
      </c>
      <c r="AC38" s="289">
        <f>VLOOKUP('Calculation Tool'!$O$2,'Limits and Glycol'!$D$2:$E$12,2,0)*U$8^Konstanten!$E$7*$B38*$G38^Konstanten!$F$7*U$7^Konstanten!$G$7*T$8^Konstanten!$H$7*(Konstanten!$C$7-U$7^Konstanten!$I$7*Konstanten!$D$7)*(-0.00072478*G38 + 1.8694)</f>
        <v>1534.4771134029656</v>
      </c>
      <c r="AD38" s="287">
        <f t="shared" si="3"/>
        <v>19.095360189494919</v>
      </c>
      <c r="AE38" s="286">
        <f>3.6*AB38/(U$7*Konstanten!$K$3)</f>
        <v>659.63813913530987</v>
      </c>
      <c r="AF38" s="287">
        <f>'Limits and Glycol'!$I$8*0.000092533*AE38^1.8158</f>
        <v>12.17845056896109</v>
      </c>
      <c r="AG38" s="294">
        <f t="shared" si="4"/>
        <v>0</v>
      </c>
      <c r="AH38" s="281">
        <f t="shared" si="9"/>
        <v>85.84035991121246</v>
      </c>
      <c r="AI38" s="265">
        <f t="shared" si="10"/>
        <v>17.396664700829724</v>
      </c>
      <c r="AJ38" s="127">
        <f t="shared" si="5"/>
        <v>400</v>
      </c>
      <c r="AK38" s="323">
        <f>IF(ISNUMBER(VLOOKUP(F38,$AY$36:$BA$40,3,0)),VLOOKUP(F38,$AY$36:$BA$40,3,0),ROUNDUP((0.5*(1-0.1*$I$8/85)*B38/C38*(G38-140)/1000)/5,0)*5)</f>
        <v>545</v>
      </c>
      <c r="AL38" s="265">
        <f t="shared" si="11"/>
        <v>30.30667184566903</v>
      </c>
      <c r="AM38" s="265">
        <f>IF(ISNUMBER(VLOOKUP(F38,$AY$36:$BC$40,5,0)),VLOOKUP(F38,$AY$36:$BC$40,5,0),F38^2*BF38+F38*BG38+BH38)</f>
        <v>38.30667184566903</v>
      </c>
      <c r="AN38" s="270">
        <f>IF(ISNUMBER(VLOOKUP(F38,$AY$36:$BD$40,6,0)),VLOOKUP(F38,$AY$36:$BD$40,6,0),F38^2*BI38+F38*BJ38+BK38)</f>
        <v>12.9</v>
      </c>
      <c r="AO38" s="276">
        <f>IF(ISNUMBER(VLOOKUP(F38,$AY$36:$BE$40,7,0)),VLOOKUP(F38,$AY$36:$BE$40,7,0),F38^2*BL38+F38*BM38+BN38)</f>
        <v>134</v>
      </c>
      <c r="AR38" s="110"/>
      <c r="AW38"/>
      <c r="AY38">
        <v>60</v>
      </c>
      <c r="AZ38">
        <f t="shared" si="12"/>
        <v>3600</v>
      </c>
      <c r="BA38" s="214">
        <v>545</v>
      </c>
      <c r="BB38" s="194">
        <v>30.30667184566903</v>
      </c>
      <c r="BC38" s="195">
        <v>38.30667184566903</v>
      </c>
      <c r="BD38" s="201">
        <v>12.9</v>
      </c>
      <c r="BE38" s="206">
        <v>134</v>
      </c>
      <c r="BF38">
        <f t="shared" ref="BF38:BF40" si="71">BF37</f>
        <v>1.0455861161341297E-3</v>
      </c>
      <c r="BG38">
        <f t="shared" si="65"/>
        <v>0.2482233767630137</v>
      </c>
      <c r="BH38">
        <f t="shared" si="66"/>
        <v>19.367349676546596</v>
      </c>
      <c r="BI38">
        <f t="shared" ref="BI38:BI40" si="72">BI37</f>
        <v>7.5178571428571421E-3</v>
      </c>
      <c r="BJ38">
        <f t="shared" si="67"/>
        <v>-0.46364285714285725</v>
      </c>
      <c r="BK38">
        <f t="shared" si="68"/>
        <v>13.740000000000016</v>
      </c>
      <c r="BL38">
        <f t="shared" ref="BL38:BL40" si="73">BL37</f>
        <v>6.3392857142857126E-2</v>
      </c>
      <c r="BM38">
        <f t="shared" si="69"/>
        <v>-4.0521428571428562</v>
      </c>
      <c r="BN38">
        <f t="shared" si="70"/>
        <v>150.20000000000005</v>
      </c>
      <c r="BP38" s="249">
        <f t="shared" si="18"/>
        <v>1.3754449722435579E-2</v>
      </c>
      <c r="BQ38" s="250">
        <f t="shared" si="32"/>
        <v>7.4961750987273907</v>
      </c>
      <c r="BR38" s="250">
        <f t="shared" si="6"/>
        <v>7.4961750987273907</v>
      </c>
      <c r="BS38" s="249">
        <f t="shared" si="33"/>
        <v>1.3754449722435579E-2</v>
      </c>
      <c r="BT38" s="251">
        <f t="shared" si="21"/>
        <v>0.85840359911212449</v>
      </c>
      <c r="BU38" s="101">
        <f t="shared" si="22"/>
        <v>17.396664700829724</v>
      </c>
    </row>
    <row r="39" spans="2:73" x14ac:dyDescent="0.3">
      <c r="B39" s="117">
        <f t="shared" si="64"/>
        <v>1890</v>
      </c>
      <c r="C39" s="253">
        <v>1.49</v>
      </c>
      <c r="D39" s="410"/>
      <c r="E39" s="412"/>
      <c r="F39" s="259">
        <f>'Calculation Tool'!F39</f>
        <v>40</v>
      </c>
      <c r="G39" s="120">
        <f t="shared" si="8"/>
        <v>495</v>
      </c>
      <c r="H39" s="305">
        <f>VLOOKUP('Calculation Tool'!$O$2,'Limits and Glycol'!$D$2:$E$12,2,0)*I$8^Konstanten!$E$4*$B39*$G39^Konstanten!$F$4*I$7^Konstanten!$G$4*H$8^Konstanten!$H$4*(Konstanten!$C$4-I$7^Konstanten!$I$4*Konstanten!$D$4)</f>
        <v>5066.589062842274</v>
      </c>
      <c r="I39" s="287">
        <f>Konstanten!$C$23*(((($K$2+$K$3)*Konstanten!$I$23+$K$4)/(Konstanten!$I$23+2))^Konstanten!$D$23*$G39^Konstanten!$E$23*ABS($I$7)^Konstanten!$F$23+Konstanten!$H$23*($G39*$B39/C39)^Konstanten!$G$23)</f>
        <v>65.077597977724324</v>
      </c>
      <c r="J39" s="286">
        <f>3.6*H39/(I$7*Konstanten!$K$3)</f>
        <v>435.60315784246239</v>
      </c>
      <c r="K39" s="287">
        <f>'Limits and Glycol'!$M$8*0.00015861*J39^1.7759</f>
        <v>7.7106733717345595</v>
      </c>
      <c r="L39" s="288">
        <f>VLOOKUP('Calculation Tool'!$O$2,'Limits and Glycol'!$D$2:$E$12,2,0)*I$8^Konstanten!$E$5*$B39*$G39^Konstanten!$F$5*I$7^Konstanten!$G$5*H$8^Konstanten!$H$5*(Konstanten!$C$5-I$7^Konstanten!$I$5*Konstanten!$D$5)</f>
        <v>3746.9284688594821</v>
      </c>
      <c r="M39" s="287">
        <f>Konstanten!$C$24*(((($K$2+$K$3)*Konstanten!$I$24+$K$4)/(Konstanten!$I$24+2))^Konstanten!$D$24*$G39^Konstanten!$E$24*ABS($I$7)^Konstanten!$F$24+Konstanten!$H$24*($G39*$B39/C39)^Konstanten!$G$24)</f>
        <v>52.522363930078811</v>
      </c>
      <c r="N39" s="286">
        <f>3.6*L39/(I$7*Konstanten!$K$3)</f>
        <v>322.14451438644801</v>
      </c>
      <c r="O39" s="287">
        <f>'Limits and Glycol'!$M$8*0.00077444*N39^1.7521</f>
        <v>19.20186794032216</v>
      </c>
      <c r="P39" s="257"/>
      <c r="Q39" s="257"/>
      <c r="R39" s="410"/>
      <c r="S39" s="259">
        <v>40</v>
      </c>
      <c r="T39" s="290">
        <f>IF(T$10="trocken",U39,IF(Konstanten!$A$18*(U$9^Konstanten!$B$18*U$8^Konstanten!$C$18*U39^Konstanten!$D$18*T$8^Konstanten!$E$18+U$7^Konstanten!$F$18)&lt;1,U39,U39*Konstanten!$A$18*(U$9^Konstanten!$B$18*U$8^Konstanten!$C$18*U39^Konstanten!$D$18*T$8^Konstanten!$E$18+U$7^Konstanten!$F$18)))</f>
        <v>1034.1703987970816</v>
      </c>
      <c r="U39" s="290">
        <f>VLOOKUP('Calculation Tool'!$O$2,'Limits and Glycol'!$D$2:$E$12,2,0)*U$8^Konstanten!$E$6*$B39*$G39^Konstanten!$F$6*U$7^Konstanten!$G$6*T$8^Konstanten!$H$6*(Konstanten!$C$6-U$7^Konstanten!$I$6*Konstanten!$D$6)*(-0.00072478*G39 + 1.8694)</f>
        <v>1034.1703987970816</v>
      </c>
      <c r="V39" s="287">
        <f t="shared" si="0"/>
        <v>18.001305177523935</v>
      </c>
      <c r="W39" s="286">
        <f>3.6*T39/(U$7*Konstanten!$K$3)</f>
        <v>444.56722844075608</v>
      </c>
      <c r="X39" s="287">
        <f>'Limits and Glycol'!$I$8*0.00015861*W39^1.7759</f>
        <v>7.9947092518932035</v>
      </c>
      <c r="Y39" s="294">
        <f t="shared" si="25"/>
        <v>0</v>
      </c>
      <c r="Z39" s="281">
        <f t="shared" si="1"/>
        <v>92.202205122690273</v>
      </c>
      <c r="AA39" s="265">
        <f t="shared" si="2"/>
        <v>17.064917703212842</v>
      </c>
      <c r="AB39" s="289">
        <f>IF(T$10="trocken",AC39,IF(Konstanten!$A$18*(U$9^Konstanten!$B$18*U$8^Konstanten!$C$18*AC39^Konstanten!$D$18*T$8^Konstanten!$E$18+U$7^Konstanten!$F$18)&lt;1,AC39,AC39*Konstanten!$A$18*(U$9^Konstanten!$B$18*U$8^Konstanten!$C$18*AC39^Konstanten!$D$18*T$8^Konstanten!$E$18+U$7^Konstanten!$F$18)))</f>
        <v>982.01560480985381</v>
      </c>
      <c r="AC39" s="289">
        <f>VLOOKUP('Calculation Tool'!$O$2,'Limits and Glycol'!$D$2:$E$12,2,0)*U$8^Konstanten!$E$7*$B39*$G39^Konstanten!$F$7*U$7^Konstanten!$G$7*T$8^Konstanten!$H$7*(Konstanten!$C$7-U$7^Konstanten!$I$7*Konstanten!$D$7)*(-0.00072478*G39 + 1.8694)</f>
        <v>982.01560480985381</v>
      </c>
      <c r="AD39" s="287">
        <f t="shared" si="3"/>
        <v>18.48033887660295</v>
      </c>
      <c r="AE39" s="286">
        <f>3.6*AB39/(U$7*Konstanten!$K$3)</f>
        <v>422.14702356951807</v>
      </c>
      <c r="AF39" s="287">
        <f>'Limits and Glycol'!$I$8*0.000092533*AE39^1.8158</f>
        <v>5.4151898408358523</v>
      </c>
      <c r="AG39" s="294">
        <f t="shared" si="4"/>
        <v>0</v>
      </c>
      <c r="AH39" s="281">
        <f t="shared" si="9"/>
        <v>89.357658382104006</v>
      </c>
      <c r="AI39" s="265">
        <f t="shared" si="10"/>
        <v>17.208619807517294</v>
      </c>
      <c r="AJ39" s="127">
        <f t="shared" si="5"/>
        <v>215</v>
      </c>
      <c r="AK39" s="323">
        <f>IF(ISNUMBER(VLOOKUP(F39,$AY$36:$BA$40,3,0)),VLOOKUP(F39,$AY$36:$BA$40,3,0),ROUNDUP((0.5*(1-0.1*$I$8/85)*B39/C39*(G39-140)/1000)/5,0)*5)</f>
        <v>325</v>
      </c>
      <c r="AL39" s="265">
        <f t="shared" si="11"/>
        <v>21.078744062781084</v>
      </c>
      <c r="AM39" s="265">
        <f>IF(ISNUMBER(VLOOKUP(F39,$AY$36:$BC$40,5,0)),VLOOKUP(F39,$AY$36:$BC$40,5,0),F39^2*BF39+F39*BG39+BH39)</f>
        <v>29.078744062781084</v>
      </c>
      <c r="AN39" s="270">
        <f>IF(ISNUMBER(VLOOKUP(F39,$AY$36:$BD$40,6,0)),VLOOKUP(F39,$AY$36:$BD$40,6,0),F39^2*BI39+F39*BJ39+BK39)</f>
        <v>8.4</v>
      </c>
      <c r="AO39" s="276">
        <f>IF(ISNUMBER(VLOOKUP(F39,$AY$36:$BE$40,7,0)),VLOOKUP(F39,$AY$36:$BE$40,7,0),F39^2*BL39+F39*BM39+BN39)</f>
        <v>99</v>
      </c>
      <c r="AR39" s="110"/>
      <c r="AW39"/>
      <c r="AY39">
        <v>40</v>
      </c>
      <c r="AZ39">
        <f t="shared" si="12"/>
        <v>1600</v>
      </c>
      <c r="BA39" s="214">
        <v>325</v>
      </c>
      <c r="BB39" s="194">
        <v>21.078744062781084</v>
      </c>
      <c r="BC39" s="195">
        <v>29.078744062781084</v>
      </c>
      <c r="BD39" s="201">
        <v>8.4</v>
      </c>
      <c r="BE39" s="206">
        <v>99</v>
      </c>
      <c r="BF39">
        <f t="shared" si="71"/>
        <v>1.0455861161341297E-3</v>
      </c>
      <c r="BG39">
        <f t="shared" si="65"/>
        <v>0.2482233767630137</v>
      </c>
      <c r="BH39">
        <f t="shared" si="66"/>
        <v>19.367349676546596</v>
      </c>
      <c r="BI39">
        <f t="shared" si="72"/>
        <v>7.5178571428571421E-3</v>
      </c>
      <c r="BJ39">
        <f t="shared" si="67"/>
        <v>-0.46364285714285725</v>
      </c>
      <c r="BK39">
        <f t="shared" si="68"/>
        <v>13.740000000000016</v>
      </c>
      <c r="BL39">
        <f t="shared" si="73"/>
        <v>6.3392857142857126E-2</v>
      </c>
      <c r="BM39">
        <f t="shared" si="69"/>
        <v>-4.0521428571428562</v>
      </c>
      <c r="BN39">
        <f t="shared" si="70"/>
        <v>150.20000000000005</v>
      </c>
      <c r="BP39" s="249">
        <f t="shared" si="18"/>
        <v>1.3754449722435579E-2</v>
      </c>
      <c r="BQ39" s="250">
        <f t="shared" si="32"/>
        <v>4.4701961597915627</v>
      </c>
      <c r="BR39" s="250">
        <f t="shared" si="6"/>
        <v>4.4701961597915627</v>
      </c>
      <c r="BS39" s="249">
        <f t="shared" si="33"/>
        <v>1.3754449722435577E-2</v>
      </c>
      <c r="BT39" s="251">
        <f t="shared" si="21"/>
        <v>0.8935765838210401</v>
      </c>
      <c r="BU39" s="101">
        <f t="shared" si="22"/>
        <v>17.208619807517294</v>
      </c>
    </row>
    <row r="40" spans="2:73" x14ac:dyDescent="0.3">
      <c r="B40" s="117">
        <f t="shared" si="64"/>
        <v>1890</v>
      </c>
      <c r="C40" s="253">
        <v>1.66</v>
      </c>
      <c r="D40" s="413"/>
      <c r="E40" s="414"/>
      <c r="F40" s="259">
        <f>'Calculation Tool'!F40</f>
        <v>20</v>
      </c>
      <c r="G40" s="120">
        <f t="shared" si="8"/>
        <v>315</v>
      </c>
      <c r="H40" s="305">
        <f>VLOOKUP('Calculation Tool'!$O$2,'Limits and Glycol'!$D$2:$E$12,2,0)*I$8^Konstanten!$E$4*$B40*$G40^Konstanten!$F$4*I$7^Konstanten!$G$4*H$8^Konstanten!$H$4*(Konstanten!$C$4-I$7^Konstanten!$I$4*Konstanten!$D$4)</f>
        <v>3129.5838580728073</v>
      </c>
      <c r="I40" s="287">
        <f>Konstanten!$C$23*(((($K$2+$K$3)*Konstanten!$I$23+$K$4)/(Konstanten!$I$23+2))^Konstanten!$D$23*$G40^Konstanten!$E$23*ABS($I$7)^Konstanten!$F$23+Konstanten!$H$23*($G40*$B40/C40)^Konstanten!$G$23)</f>
        <v>68.642353567823164</v>
      </c>
      <c r="J40" s="282">
        <f>3.6*H40/(I$7*Konstanten!$K$3)</f>
        <v>269.06792605448584</v>
      </c>
      <c r="K40" s="287">
        <f>'Limits and Glycol'!$M$8*0.00015861*J40^1.7759</f>
        <v>3.2773465672252753</v>
      </c>
      <c r="L40" s="288">
        <f>VLOOKUP('Calculation Tool'!$O$2,'Limits and Glycol'!$D$2:$E$12,2,0)*I$8^Konstanten!$E$5*$B40*$G40^Konstanten!$F$5*I$7^Konstanten!$G$5*H$8^Konstanten!$H$5*(Konstanten!$C$5-I$7^Konstanten!$I$5*Konstanten!$D$5)</f>
        <v>2645.063305660236</v>
      </c>
      <c r="M40" s="287">
        <f>Konstanten!$C$24*(((($K$2+$K$3)*Konstanten!$I$24+$K$4)/(Konstanten!$I$24+2))^Konstanten!$D$24*$G40^Konstanten!$E$24*ABS($I$7)^Konstanten!$F$24+Konstanten!$H$24*($G40*$B40/C40)^Konstanten!$G$24)</f>
        <v>59.530229804833347</v>
      </c>
      <c r="N40" s="282">
        <f>3.6*L40/(I$7*Konstanten!$K$3)</f>
        <v>227.41096906573608</v>
      </c>
      <c r="O40" s="287">
        <f>'Limits and Glycol'!$M$8*0.00077444*N40^1.7521</f>
        <v>10.431747002970663</v>
      </c>
      <c r="P40" s="257"/>
      <c r="Q40" s="257"/>
      <c r="R40" s="413"/>
      <c r="S40" s="260">
        <v>20</v>
      </c>
      <c r="T40" s="292">
        <f>IF(T$10="trocken",U40,IF(Konstanten!$A$18*(U$9^Konstanten!$B$18*U$8^Konstanten!$C$18*U40^Konstanten!$D$18*T$8^Konstanten!$E$18+U$7^Konstanten!$F$18)&lt;1,U40,U40*Konstanten!$A$18*(U$9^Konstanten!$B$18*U$8^Konstanten!$C$18*U40^Konstanten!$D$18*T$8^Konstanten!$E$18+U$7^Konstanten!$F$18)))</f>
        <v>580.23596678406818</v>
      </c>
      <c r="U40" s="292">
        <f>VLOOKUP('Calculation Tool'!$O$2,'Limits and Glycol'!$D$2:$E$12,2,0)*U$8^Konstanten!$E$6*$B40*$G40^Konstanten!$F$6*U$7^Konstanten!$G$6*T$8^Konstanten!$H$6*(Konstanten!$C$6-U$7^Konstanten!$I$6*Konstanten!$D$6)*(-0.00072478*G40 + 1.8694)</f>
        <v>580.23596678406818</v>
      </c>
      <c r="V40" s="284">
        <f t="shared" si="0"/>
        <v>16.674702112237533</v>
      </c>
      <c r="W40" s="282">
        <f>3.6*T40/(U$7*Konstanten!$K$3)</f>
        <v>249.43074748115075</v>
      </c>
      <c r="X40" s="284">
        <f>'Limits and Glycol'!$I$8*0.00015861*W40^1.7759</f>
        <v>2.8646663666894465</v>
      </c>
      <c r="Y40" s="295">
        <f t="shared" si="25"/>
        <v>0</v>
      </c>
      <c r="Z40" s="282">
        <f t="shared" si="1"/>
        <v>100.58837563997167</v>
      </c>
      <c r="AA40" s="284">
        <f t="shared" si="2"/>
        <v>16.679236758599053</v>
      </c>
      <c r="AB40" s="291">
        <f>IF(T$10="trocken",AC40,IF(Konstanten!$A$18*(U$9^Konstanten!$B$18*U$8^Konstanten!$C$18*AC40^Konstanten!$D$18*T$8^Konstanten!$E$18+U$7^Konstanten!$F$18)&lt;1,AC40,AC40*Konstanten!$A$18*(U$9^Konstanten!$B$18*U$8^Konstanten!$C$18*AC40^Konstanten!$D$18*T$8^Konstanten!$E$18+U$7^Konstanten!$F$18)))</f>
        <v>556.82022417937969</v>
      </c>
      <c r="AC40" s="291">
        <f>VLOOKUP('Calculation Tool'!$O$2,'Limits and Glycol'!$D$2:$E$12,2,0)*U$8^Konstanten!$E$7*$B40*$G40^Konstanten!$F$7*U$7^Konstanten!$G$7*T$8^Konstanten!$H$7*(Konstanten!$C$7-U$7^Konstanten!$I$7*Konstanten!$D$7)*(-0.00072478*G40 + 1.8694)</f>
        <v>556.82022417937969</v>
      </c>
      <c r="AD40" s="284">
        <f t="shared" si="3"/>
        <v>17.111562981727992</v>
      </c>
      <c r="AE40" s="282">
        <f>3.6*AB40/(U$7*Konstanten!$K$3)</f>
        <v>239.36483203456959</v>
      </c>
      <c r="AF40" s="284">
        <f>'Limits and Glycol'!$I$8*0.000092533*AE40^1.8158</f>
        <v>1.9328333655774128</v>
      </c>
      <c r="AG40" s="295">
        <f t="shared" si="4"/>
        <v>0</v>
      </c>
      <c r="AH40" s="282">
        <f t="shared" si="9"/>
        <v>97.741442342422502</v>
      </c>
      <c r="AI40" s="284">
        <f t="shared" si="10"/>
        <v>16.804289593826809</v>
      </c>
      <c r="AJ40" s="254">
        <f t="shared" si="5"/>
        <v>95</v>
      </c>
      <c r="AK40" s="323">
        <f>IF(ISNUMBER(VLOOKUP(F40,$AY$36:$BA$40,3,0)),VLOOKUP(F40,$AY$36:$BA$40,3,0),ROUNDUP((0.5*(1-0.1*$I$8/85)*B40/C40*(G40-140)/1000)/5,0)*5)</f>
        <v>160</v>
      </c>
      <c r="AL40" s="266">
        <f t="shared" si="11"/>
        <v>17.648322635767734</v>
      </c>
      <c r="AM40" s="266">
        <f>IF(ISNUMBER(VLOOKUP(F40,$AY$36:$BC$40,5,0)),VLOOKUP(F40,$AY$36:$BC$40,5,0),F40^2*BF40+F40*BG40+BH40)</f>
        <v>25.648322635767734</v>
      </c>
      <c r="AN40" s="271">
        <f>IF(ISNUMBER(VLOOKUP(F40,$AY$36:$BD$40,6,0)),VLOOKUP(F40,$AY$36:$BD$40,6,0),F40^2*BI40+F40*BJ40+BK40)</f>
        <v>6.9</v>
      </c>
      <c r="AO40" s="277">
        <f>IF(ISNUMBER(VLOOKUP(F40,$AY$36:$BE$40,7,0)),VLOOKUP(F40,$AY$36:$BE$40,7,0),F40^2*BL40+F40*BM40+BN40)</f>
        <v>90</v>
      </c>
      <c r="AR40" s="110"/>
      <c r="AW40"/>
      <c r="AY40">
        <v>20</v>
      </c>
      <c r="AZ40">
        <f t="shared" si="12"/>
        <v>400</v>
      </c>
      <c r="BA40" s="215">
        <v>160</v>
      </c>
      <c r="BB40" s="196">
        <v>17.648322635767734</v>
      </c>
      <c r="BC40" s="197">
        <v>25.648322635767734</v>
      </c>
      <c r="BD40" s="203">
        <v>6.9</v>
      </c>
      <c r="BE40" s="207">
        <v>90</v>
      </c>
      <c r="BF40">
        <f t="shared" si="71"/>
        <v>1.0455861161341297E-3</v>
      </c>
      <c r="BG40">
        <f t="shared" si="65"/>
        <v>0.2482233767630137</v>
      </c>
      <c r="BH40">
        <f t="shared" si="66"/>
        <v>19.367349676546596</v>
      </c>
      <c r="BI40">
        <f t="shared" si="72"/>
        <v>7.5178571428571421E-3</v>
      </c>
      <c r="BJ40">
        <f t="shared" si="67"/>
        <v>-0.46364285714285725</v>
      </c>
      <c r="BK40">
        <f t="shared" si="68"/>
        <v>13.740000000000016</v>
      </c>
      <c r="BL40">
        <f t="shared" si="73"/>
        <v>6.3392857142857126E-2</v>
      </c>
      <c r="BM40">
        <f t="shared" si="69"/>
        <v>-4.0521428571428562</v>
      </c>
      <c r="BN40">
        <f t="shared" si="70"/>
        <v>150.20000000000005</v>
      </c>
      <c r="BP40" s="249">
        <f t="shared" si="18"/>
        <v>1.3754449722435579E-2</v>
      </c>
      <c r="BQ40" s="250">
        <f t="shared" si="32"/>
        <v>2.2007119555896928</v>
      </c>
      <c r="BR40" s="250">
        <f t="shared" si="6"/>
        <v>2.2007119555896928</v>
      </c>
      <c r="BS40" s="249">
        <f t="shared" si="33"/>
        <v>1.375444972243558E-2</v>
      </c>
      <c r="BT40" s="251">
        <f t="shared" si="21"/>
        <v>0.97741442342422513</v>
      </c>
      <c r="BU40" s="101">
        <f t="shared" si="22"/>
        <v>16.804289593826809</v>
      </c>
    </row>
    <row r="41" spans="2:73" x14ac:dyDescent="0.3">
      <c r="B41" s="117">
        <f>IF(ISNUMBER(VLOOKUP($E$41,$AV$16:$AW$41,2,0)),VLOOKUP($E$41,$AV$16:$AW$41,2,0),$E$41*(1+$AX$14))</f>
        <v>2520</v>
      </c>
      <c r="C41" s="253">
        <v>1</v>
      </c>
      <c r="D41" s="409">
        <v>3000</v>
      </c>
      <c r="E41" s="411">
        <v>2190</v>
      </c>
      <c r="F41" s="259">
        <f>'Calculation Tool'!F41</f>
        <v>100</v>
      </c>
      <c r="G41" s="120">
        <f t="shared" si="8"/>
        <v>1205</v>
      </c>
      <c r="H41" s="305">
        <f>VLOOKUP('Calculation Tool'!$O$2,'Limits and Glycol'!$D$2:$E$12,2,0)*I$8^Konstanten!$E$4*$B41*$G41^Konstanten!$F$4*I$7^Konstanten!$G$4*H$8^Konstanten!$H$4*(Konstanten!$C$4-I$7^Konstanten!$I$4*Konstanten!$D$4)</f>
        <v>17437.977982417342</v>
      </c>
      <c r="I41" s="285">
        <f>Konstanten!$C$23*(((($K$2+$K$3)*Konstanten!$I$23+$K$4)/(Konstanten!$I$23+2))^Konstanten!$D$23*$G41^Konstanten!$E$23*ABS($I$7)^Konstanten!$F$23+Konstanten!$H$23*($G41*$B41/C41)^Konstanten!$G$23)</f>
        <v>58.820565916504869</v>
      </c>
      <c r="J41" s="283">
        <f>3.6*H41/(I$7*Konstanten!$K$3)</f>
        <v>1499.2410438882273</v>
      </c>
      <c r="K41" s="285">
        <f>'Limits and Glycol'!$M$8*0.00017425*J41^1.7977</f>
        <v>89.214802020963845</v>
      </c>
      <c r="L41" s="288">
        <f>VLOOKUP('Calculation Tool'!$O$2,'Limits and Glycol'!$D$2:$E$12,2,0)*I$8^Konstanten!$E$5*$B41*$G41^Konstanten!$F$5*I$7^Konstanten!$G$5*H$8^Konstanten!$H$5*(Konstanten!$C$5-I$7^Konstanten!$I$5*Konstanten!$D$5)</f>
        <v>9915.3979163360254</v>
      </c>
      <c r="M41" s="285">
        <f>Konstanten!$C$24*(((($K$2+$K$3)*Konstanten!$I$24+$K$4)/(Konstanten!$I$24+2))^Konstanten!$D$24*$G41^Konstanten!$E$24*ABS($I$7)^Konstanten!$F$24+Konstanten!$H$24*($G41*$B41/C41)^Konstanten!$G$24)</f>
        <v>43.70822275237208</v>
      </c>
      <c r="N41" s="283">
        <f>3.6*L41/(I$7*Konstanten!$K$3)</f>
        <v>852.48252622200141</v>
      </c>
      <c r="O41" s="285">
        <f>'Limits and Glycol'!$M$8*0.00095493*N41^1.7569</f>
        <v>134.55283952907033</v>
      </c>
      <c r="P41" s="257"/>
      <c r="Q41" s="257"/>
      <c r="R41" s="409">
        <v>3000</v>
      </c>
      <c r="S41" s="259">
        <v>100</v>
      </c>
      <c r="T41" s="290">
        <f>IF(T$10="trocken",U41,IF(Konstanten!$A$18*(U$9^Konstanten!$B$18*U$8^Konstanten!$C$18*U41^Konstanten!$D$18*T$8^Konstanten!$E$18+U$7^Konstanten!$F$18)&lt;1,U41,U41*Konstanten!$A$18*(U$9^Konstanten!$B$18*U$8^Konstanten!$C$18*U41^Konstanten!$D$18*T$8^Konstanten!$E$18+U$7^Konstanten!$F$18)))</f>
        <v>3338.0847217126325</v>
      </c>
      <c r="U41" s="290">
        <f>VLOOKUP('Calculation Tool'!$O$2,'Limits and Glycol'!$D$2:$E$12,2,0)*U$8^Konstanten!$E$6*$B41*$G41^Konstanten!$F$6*U$7^Konstanten!$G$6*T$8^Konstanten!$H$6*(Konstanten!$C$6-U$7^Konstanten!$I$6*Konstanten!$D$6)*(-0.00072478*G41 + 1.8694)</f>
        <v>3338.0847217126325</v>
      </c>
      <c r="V41" s="287">
        <f t="shared" si="0"/>
        <v>19.805457911110167</v>
      </c>
      <c r="W41" s="283">
        <f>3.6*T41/(U$7*Konstanten!$K$3)</f>
        <v>1434.9695898841901</v>
      </c>
      <c r="X41" s="287">
        <f>'Limits and Glycol'!$I$8*0.00017425*W41^1.7977</f>
        <v>82.457260897108597</v>
      </c>
      <c r="Y41" s="296">
        <f t="shared" si="25"/>
        <v>0</v>
      </c>
      <c r="Z41" s="283">
        <f t="shared" si="1"/>
        <v>81.959778959266615</v>
      </c>
      <c r="AA41" s="285">
        <f t="shared" si="2"/>
        <v>17.618824201426193</v>
      </c>
      <c r="AB41" s="293">
        <f>IF(T$10="trocken",AC41,IF(Konstanten!$A$18*(U$9^Konstanten!$B$18*U$8^Konstanten!$C$18*AC41^Konstanten!$D$18*T$8^Konstanten!$E$18+U$7^Konstanten!$F$18)&lt;1,AC41,AC41*Konstanten!$A$18*(U$9^Konstanten!$B$18*U$8^Konstanten!$C$18*AC41^Konstanten!$D$18*T$8^Konstanten!$E$18+U$7^Konstanten!$F$18)))</f>
        <v>3104.5629195015636</v>
      </c>
      <c r="AC41" s="289">
        <f>VLOOKUP('Calculation Tool'!$O$2,'Limits and Glycol'!$D$2:$E$12,2,0)*U$8^Konstanten!$E$7*$B41*$G41^Konstanten!$F$7*U$7^Konstanten!$G$7*T$8^Konstanten!$H$7*(Konstanten!$C$7-U$7^Konstanten!$I$7*Konstanten!$D$7)*(-0.00072478*G41 + 1.8694)</f>
        <v>3104.5629195015636</v>
      </c>
      <c r="AD41" s="287">
        <f t="shared" si="3"/>
        <v>20.343743630492565</v>
      </c>
      <c r="AE41" s="283">
        <f>3.6*AB41/(U$7*Konstanten!$K$3)</f>
        <v>1334.5836761989585</v>
      </c>
      <c r="AF41" s="287">
        <f>'Limits and Glycol'!$I$8*0.00013555*AE41^1.7907</f>
        <v>53.537274881183265</v>
      </c>
      <c r="AG41" s="296">
        <f t="shared" si="4"/>
        <v>0</v>
      </c>
      <c r="AH41" s="283">
        <f t="shared" si="9"/>
        <v>79.141361327004532</v>
      </c>
      <c r="AI41" s="285">
        <f t="shared" si="10"/>
        <v>17.790882963633855</v>
      </c>
      <c r="AJ41" s="127">
        <f t="shared" si="5"/>
        <v>1265</v>
      </c>
      <c r="AK41" s="324">
        <f>IF(ISNUMBER(VLOOKUP(F41,$AY$41:$BA$45,3,0)),VLOOKUP(F41,$AY$41:$BA$45,3,0),ROUNDUP((0.5*(1-0.1*$I$8/85)*B41/C41*(G41-140)/1000)/5,0)*5)</f>
        <v>1295</v>
      </c>
      <c r="AL41" s="267">
        <f t="shared" si="11"/>
        <v>46.966788154032749</v>
      </c>
      <c r="AM41" s="267">
        <f>IF(ISNUMBER(VLOOKUP(F41,$AY$41:$BC$45,5,0)),VLOOKUP(F41,$AY$41:$BC$45,5,0),F41^2*BF41+F41*BG41+BH41)</f>
        <v>54.966788154032749</v>
      </c>
      <c r="AN41" s="269">
        <f>IF(ISNUMBER(VLOOKUP(F41,$AY$41:$BD$45,6,0)),VLOOKUP(F41,$AY$41:$BD$45,6,0),F41^2*BI41+F41*BJ41+BK41)</f>
        <v>60</v>
      </c>
      <c r="AO41" s="275">
        <f>IF(ISNUMBER(VLOOKUP(F41,$AY$41:$BE$45,7,0)),VLOOKUP(F41,$AY$41:$BE$45,7,0),F41^2*BL41+F41*BM41+BN41)</f>
        <v>534</v>
      </c>
      <c r="AR41" s="110"/>
      <c r="AV41" s="109">
        <f>3*730</f>
        <v>2190</v>
      </c>
      <c r="AW41">
        <v>2520</v>
      </c>
      <c r="AX41">
        <f t="shared" si="31"/>
        <v>0.15068493150684931</v>
      </c>
      <c r="AY41">
        <v>100</v>
      </c>
      <c r="AZ41">
        <f t="shared" si="12"/>
        <v>10000</v>
      </c>
      <c r="BA41" s="216">
        <v>1295</v>
      </c>
      <c r="BB41" s="198">
        <v>46.966788154032749</v>
      </c>
      <c r="BC41" s="199">
        <v>54.966788154032749</v>
      </c>
      <c r="BD41" s="200">
        <v>60</v>
      </c>
      <c r="BE41" s="205">
        <v>534</v>
      </c>
      <c r="BF41">
        <f t="array" ref="BF41:BH41">LINEST(BC41:BC45,AY41:AZ45)</f>
        <v>1.0455861161341273E-3</v>
      </c>
      <c r="BG41">
        <v>0.24822337676301398</v>
      </c>
      <c r="BH41">
        <v>20.49292377881104</v>
      </c>
      <c r="BI41">
        <f t="array" ref="BI41:BK41">LINEST(BD41:BD45,AY41:AZ45)</f>
        <v>1.0446428571428568E-2</v>
      </c>
      <c r="BJ41">
        <v>-0.64307142857142818</v>
      </c>
      <c r="BK41">
        <v>19.079999999999991</v>
      </c>
      <c r="BL41">
        <f t="array" ref="BL41:BN41">LINEST(BE41:BE45,AY41:AZ45)</f>
        <v>8.8928571428571399E-2</v>
      </c>
      <c r="BM41">
        <v>-5.7214285714285698</v>
      </c>
      <c r="BN41">
        <v>211.2</v>
      </c>
      <c r="BP41" s="249">
        <f t="shared" si="18"/>
        <v>1.3754449722435579E-2</v>
      </c>
      <c r="BQ41" s="250">
        <f t="shared" si="32"/>
        <v>17.812012390554074</v>
      </c>
      <c r="BR41" s="250">
        <f t="shared" si="6"/>
        <v>17.812012390554074</v>
      </c>
      <c r="BS41" s="249">
        <f t="shared" si="33"/>
        <v>1.3754449722435579E-2</v>
      </c>
      <c r="BT41" s="251">
        <f t="shared" si="21"/>
        <v>0.79141361327004534</v>
      </c>
      <c r="BU41" s="101">
        <f t="shared" si="22"/>
        <v>17.790882963633859</v>
      </c>
    </row>
    <row r="42" spans="2:73" x14ac:dyDescent="0.3">
      <c r="B42" s="117">
        <f t="shared" ref="B42:B45" si="74">IF(ISNUMBER(VLOOKUP($E$41,$AV$16:$AW$41,2,0)),VLOOKUP($E$41,$AV$16:$AW$41,2,0),$E$41*(1+$AX$14))</f>
        <v>2520</v>
      </c>
      <c r="C42" s="253">
        <v>1.1599999999999999</v>
      </c>
      <c r="D42" s="410"/>
      <c r="E42" s="412"/>
      <c r="F42" s="259">
        <f>'Calculation Tool'!F42</f>
        <v>80</v>
      </c>
      <c r="G42" s="120">
        <f t="shared" si="8"/>
        <v>985</v>
      </c>
      <c r="H42" s="305">
        <f>VLOOKUP('Calculation Tool'!$O$2,'Limits and Glycol'!$D$2:$E$12,2,0)*I$8^Konstanten!$E$4*$B42*$G42^Konstanten!$F$4*I$7^Konstanten!$G$4*H$8^Konstanten!$H$4*(Konstanten!$C$4-I$7^Konstanten!$I$4*Konstanten!$D$4)</f>
        <v>14066.184922763878</v>
      </c>
      <c r="I42" s="287">
        <f>Konstanten!$C$23*(((($K$2+$K$3)*Konstanten!$I$23+$K$4)/(Konstanten!$I$23+2))^Konstanten!$D$23*$G42^Konstanten!$E$23*ABS($I$7)^Konstanten!$F$23+Konstanten!$H$23*($G42*$B42/C42)^Konstanten!$G$23)</f>
        <v>60.168878333891378</v>
      </c>
      <c r="J42" s="286">
        <f>3.6*H42/(I$7*Konstanten!$K$3)</f>
        <v>1209.3490305121918</v>
      </c>
      <c r="K42" s="287">
        <f>'Limits and Glycol'!$M$8*0.00017425*J42^1.7977</f>
        <v>60.628372097483698</v>
      </c>
      <c r="L42" s="288">
        <f>VLOOKUP('Calculation Tool'!$O$2,'Limits and Glycol'!$D$2:$E$12,2,0)*I$8^Konstanten!$E$5*$B42*$G42^Konstanten!$F$5*I$7^Konstanten!$G$5*H$8^Konstanten!$H$5*(Konstanten!$C$5-I$7^Konstanten!$I$5*Konstanten!$D$5)</f>
        <v>8488.9657733863623</v>
      </c>
      <c r="M42" s="287">
        <f>Konstanten!$C$24*(((($K$2+$K$3)*Konstanten!$I$24+$K$4)/(Konstanten!$I$24+2))^Konstanten!$D$24*$G42^Konstanten!$E$24*ABS($I$7)^Konstanten!$F$24+Konstanten!$H$24*($G42*$B42/C42)^Konstanten!$G$24)</f>
        <v>45.28457669104278</v>
      </c>
      <c r="N42" s="286">
        <f>3.6*L42/(I$7*Konstanten!$K$3)</f>
        <v>729.84413218412146</v>
      </c>
      <c r="O42" s="287">
        <f>'Limits and Glycol'!$M$8*0.00095493*N42^1.7569</f>
        <v>102.41900124118109</v>
      </c>
      <c r="P42" s="257"/>
      <c r="Q42" s="257"/>
      <c r="R42" s="410"/>
      <c r="S42" s="259">
        <v>80</v>
      </c>
      <c r="T42" s="290">
        <f>IF(T$10="trocken",U42,IF(Konstanten!$A$18*(U$9^Konstanten!$B$18*U$8^Konstanten!$C$18*U42^Konstanten!$D$18*T$8^Konstanten!$E$18+U$7^Konstanten!$F$18)&lt;1,U42,U42*Konstanten!$A$18*(U$9^Konstanten!$B$18*U$8^Konstanten!$C$18*U42^Konstanten!$D$18*T$8^Konstanten!$E$18+U$7^Konstanten!$F$18)))</f>
        <v>2884.0144789635224</v>
      </c>
      <c r="U42" s="290">
        <f>VLOOKUP('Calculation Tool'!$O$2,'Limits and Glycol'!$D$2:$E$12,2,0)*U$8^Konstanten!$E$6*$B42*$G42^Konstanten!$F$6*U$7^Konstanten!$G$6*T$8^Konstanten!$H$6*(Konstanten!$C$6-U$7^Konstanten!$I$6*Konstanten!$D$6)*(-0.00072478*G42 + 1.8694)</f>
        <v>2884.0144789635224</v>
      </c>
      <c r="V42" s="287">
        <f t="shared" si="0"/>
        <v>19.141749082847348</v>
      </c>
      <c r="W42" s="286">
        <f>3.6*T42/(U$7*Konstanten!$K$3)</f>
        <v>1239.7747268604594</v>
      </c>
      <c r="X42" s="287">
        <f>'Limits and Glycol'!$I$8*0.00017425*W42^1.7977</f>
        <v>63.397933268253809</v>
      </c>
      <c r="Y42" s="294">
        <f t="shared" si="25"/>
        <v>0</v>
      </c>
      <c r="Z42" s="281">
        <f t="shared" si="1"/>
        <v>85.581040457464582</v>
      </c>
      <c r="AA42" s="265">
        <f t="shared" si="2"/>
        <v>17.411011865334931</v>
      </c>
      <c r="AB42" s="289">
        <f>IF(T$10="trocken",AC42,IF(Konstanten!$A$18*(U$9^Konstanten!$B$18*U$8^Konstanten!$C$18*AC42^Konstanten!$D$18*T$8^Konstanten!$E$18+U$7^Konstanten!$F$18)&lt;1,AC42,AC42*Konstanten!$A$18*(U$9^Konstanten!$B$18*U$8^Konstanten!$C$18*AC42^Konstanten!$D$18*T$8^Konstanten!$E$18+U$7^Konstanten!$F$18)))</f>
        <v>2694.9153096554692</v>
      </c>
      <c r="AC42" s="289">
        <f>VLOOKUP('Calculation Tool'!$O$2,'Limits and Glycol'!$D$2:$E$12,2,0)*U$8^Konstanten!$E$7*$B42*$G42^Konstanten!$F$7*U$7^Konstanten!$G$7*T$8^Konstanten!$H$7*(Konstanten!$C$7-U$7^Konstanten!$I$7*Konstanten!$D$7)*(-0.00072478*G42 + 1.8694)</f>
        <v>2694.9153096554692</v>
      </c>
      <c r="AD42" s="287">
        <f t="shared" si="3"/>
        <v>19.689783191840402</v>
      </c>
      <c r="AE42" s="286">
        <f>3.6*AB42/(U$7*Konstanten!$K$3)</f>
        <v>1158.4851311637397</v>
      </c>
      <c r="AF42" s="287">
        <f>'Limits and Glycol'!$I$8*0.00013555*AE42^1.7907</f>
        <v>41.55355417943229</v>
      </c>
      <c r="AG42" s="294">
        <f t="shared" si="4"/>
        <v>0</v>
      </c>
      <c r="AH42" s="281">
        <f t="shared" si="9"/>
        <v>82.579116796362428</v>
      </c>
      <c r="AI42" s="265">
        <f t="shared" si="10"/>
        <v>17.582262376583909</v>
      </c>
      <c r="AJ42" s="127">
        <f t="shared" si="5"/>
        <v>865</v>
      </c>
      <c r="AK42" s="323">
        <f>IF(ISNUMBER(VLOOKUP(F42,$AY$41:$BA$45,3,0)),VLOOKUP(F42,$AY$41:$BA$45,3,0),ROUNDUP((0.5*(1-0.1*$I$8/85)*B42/C42*(G42-140)/1000)/5,0)*5)</f>
        <v>1030</v>
      </c>
      <c r="AL42" s="265">
        <f t="shared" si="11"/>
        <v>40.557277472866254</v>
      </c>
      <c r="AM42" s="265">
        <f>IF(ISNUMBER(VLOOKUP(F42,$AY$41:$BC$45,5,0)),VLOOKUP(F42,$AY$41:$BC$45,5,0),F42^2*BF42+F42*BG42+BH42)</f>
        <v>48.557277472866254</v>
      </c>
      <c r="AN42" s="270">
        <f>IF(ISNUMBER(VLOOKUP(F42,$AY$41:$BD$45,6,0)),VLOOKUP(F42,$AY$41:$BD$45,6,0),F42^2*BI42+F42*BJ42+BK42)</f>
        <v>33</v>
      </c>
      <c r="AO42" s="276">
        <f>IF(ISNUMBER(VLOOKUP(F42,$AY$41:$BE$45,7,0)),VLOOKUP(F42,$AY$41:$BE$45,7,0),F42^2*BL42+F42*BM42+BN42)</f>
        <v>312</v>
      </c>
      <c r="AR42" s="110"/>
      <c r="AY42">
        <v>80</v>
      </c>
      <c r="AZ42">
        <f t="shared" si="12"/>
        <v>6400</v>
      </c>
      <c r="BA42" s="214">
        <v>1030</v>
      </c>
      <c r="BB42" s="194">
        <v>40.557277472866254</v>
      </c>
      <c r="BC42" s="195">
        <v>48.557277472866254</v>
      </c>
      <c r="BD42" s="201">
        <v>33</v>
      </c>
      <c r="BE42" s="206">
        <v>312</v>
      </c>
      <c r="BF42">
        <f>BF41</f>
        <v>1.0455861161341273E-3</v>
      </c>
      <c r="BG42">
        <f t="shared" ref="BG42:BG45" si="75">BG41</f>
        <v>0.24822337676301398</v>
      </c>
      <c r="BH42">
        <f t="shared" ref="BH42:BH45" si="76">BH41</f>
        <v>20.49292377881104</v>
      </c>
      <c r="BI42">
        <f>BI41</f>
        <v>1.0446428571428568E-2</v>
      </c>
      <c r="BJ42">
        <f t="shared" ref="BJ42:BJ45" si="77">BJ41</f>
        <v>-0.64307142857142818</v>
      </c>
      <c r="BK42">
        <f t="shared" ref="BK42:BK45" si="78">BK41</f>
        <v>19.079999999999991</v>
      </c>
      <c r="BL42">
        <f>BL41</f>
        <v>8.8928571428571399E-2</v>
      </c>
      <c r="BM42">
        <f t="shared" ref="BM42:BM45" si="79">BM41</f>
        <v>-5.7214285714285698</v>
      </c>
      <c r="BN42">
        <f t="shared" ref="BN42:BN45" si="80">BN41</f>
        <v>211.2</v>
      </c>
      <c r="BP42" s="249">
        <f t="shared" si="18"/>
        <v>1.3754449722435579E-2</v>
      </c>
      <c r="BQ42" s="250">
        <f t="shared" si="32"/>
        <v>14.167083214108645</v>
      </c>
      <c r="BR42" s="250">
        <f t="shared" si="6"/>
        <v>14.167083214108645</v>
      </c>
      <c r="BS42" s="249">
        <f t="shared" si="33"/>
        <v>1.3754449722435579E-2</v>
      </c>
      <c r="BT42" s="251">
        <f t="shared" si="21"/>
        <v>0.82579116796362428</v>
      </c>
      <c r="BU42" s="101">
        <f t="shared" si="22"/>
        <v>17.582262376583905</v>
      </c>
    </row>
    <row r="43" spans="2:73" x14ac:dyDescent="0.3">
      <c r="B43" s="117">
        <f t="shared" si="74"/>
        <v>2520</v>
      </c>
      <c r="C43" s="253">
        <v>1.33</v>
      </c>
      <c r="D43" s="410"/>
      <c r="E43" s="412"/>
      <c r="F43" s="259">
        <f>'Calculation Tool'!F43</f>
        <v>60</v>
      </c>
      <c r="G43" s="120">
        <f t="shared" si="8"/>
        <v>735</v>
      </c>
      <c r="H43" s="305">
        <f>VLOOKUP('Calculation Tool'!$O$2,'Limits and Glycol'!$D$2:$E$12,2,0)*I$8^Konstanten!$E$4*$B43*$G43^Konstanten!$F$4*I$7^Konstanten!$G$4*H$8^Konstanten!$H$4*(Konstanten!$C$4-I$7^Konstanten!$I$4*Konstanten!$D$4)</f>
        <v>10295.541874026036</v>
      </c>
      <c r="I43" s="287">
        <f>Konstanten!$C$23*(((($K$2+$K$3)*Konstanten!$I$23+$K$4)/(Konstanten!$I$23+2))^Konstanten!$D$23*$G43^Konstanten!$E$23*ABS($I$7)^Konstanten!$F$23+Konstanten!$H$23*($G43*$B43/C43)^Konstanten!$G$23)</f>
        <v>62.222318019785462</v>
      </c>
      <c r="J43" s="286">
        <f>3.6*H43/(I$7*Konstanten!$K$3)</f>
        <v>885.165640315254</v>
      </c>
      <c r="K43" s="287">
        <f>'Limits and Glycol'!$M$8*0.00017425*J43^1.7977</f>
        <v>34.597029808804493</v>
      </c>
      <c r="L43" s="288">
        <f>VLOOKUP('Calculation Tool'!$O$2,'Limits and Glycol'!$D$2:$E$12,2,0)*I$8^Konstanten!$E$5*$B43*$G43^Konstanten!$F$5*I$7^Konstanten!$G$5*H$8^Konstanten!$H$5*(Konstanten!$C$5-I$7^Konstanten!$I$5*Konstanten!$D$5)</f>
        <v>6774.7028183469902</v>
      </c>
      <c r="M43" s="287">
        <f>Konstanten!$C$24*(((($K$2+$K$3)*Konstanten!$I$24+$K$4)/(Konstanten!$I$24+2))^Konstanten!$D$24*$G43^Konstanten!$E$24*ABS($I$7)^Konstanten!$F$24+Konstanten!$H$24*($G43*$B43/C43)^Konstanten!$G$24)</f>
        <v>48.176294015516632</v>
      </c>
      <c r="N43" s="286">
        <f>3.6*L43/(I$7*Konstanten!$K$3)</f>
        <v>582.45930437876689</v>
      </c>
      <c r="O43" s="287">
        <f>'Limits and Glycol'!$M$8*0.00095493*N43^1.7569</f>
        <v>68.907524387960805</v>
      </c>
      <c r="P43" s="257"/>
      <c r="Q43" s="257"/>
      <c r="R43" s="410"/>
      <c r="S43" s="259">
        <v>60</v>
      </c>
      <c r="T43" s="290">
        <f>IF(T$10="trocken",U43,IF(Konstanten!$A$18*(U$9^Konstanten!$B$18*U$8^Konstanten!$C$18*U43^Konstanten!$D$18*T$8^Konstanten!$E$18+U$7^Konstanten!$F$18)&lt;1,U43,U43*Konstanten!$A$18*(U$9^Konstanten!$B$18*U$8^Konstanten!$C$18*U43^Konstanten!$D$18*T$8^Konstanten!$E$18+U$7^Konstanten!$F$18)))</f>
        <v>2174.6138949593933</v>
      </c>
      <c r="U43" s="290">
        <f>VLOOKUP('Calculation Tool'!$O$2,'Limits and Glycol'!$D$2:$E$12,2,0)*U$8^Konstanten!$E$6*$B43*$G43^Konstanten!$F$6*U$7^Konstanten!$G$6*T$8^Konstanten!$H$6*(Konstanten!$C$6-U$7^Konstanten!$I$6*Konstanten!$D$6)*(-0.00072478*G43 + 1.8694)</f>
        <v>2174.6138949593933</v>
      </c>
      <c r="V43" s="287">
        <f t="shared" si="0"/>
        <v>18.546365846796117</v>
      </c>
      <c r="W43" s="286">
        <f>3.6*T43/(U$7*Konstanten!$K$3)</f>
        <v>934.81893635262213</v>
      </c>
      <c r="X43" s="287">
        <f>'Limits and Glycol'!$I$8*0.00017425*W43^1.7977</f>
        <v>38.163624637794278</v>
      </c>
      <c r="Y43" s="294">
        <f t="shared" si="25"/>
        <v>0</v>
      </c>
      <c r="Z43" s="281">
        <f t="shared" si="1"/>
        <v>88.972886754459779</v>
      </c>
      <c r="AA43" s="265">
        <f t="shared" si="2"/>
        <v>17.228615551556874</v>
      </c>
      <c r="AB43" s="289">
        <f>IF(T$10="trocken",AC43,IF(Konstanten!$A$18*(U$9^Konstanten!$B$18*U$8^Konstanten!$C$18*AC43^Konstanten!$D$18*T$8^Konstanten!$E$18+U$7^Konstanten!$F$18)&lt;1,AC43,AC43*Konstanten!$A$18*(U$9^Konstanten!$B$18*U$8^Konstanten!$C$18*AC43^Konstanten!$D$18*T$8^Konstanten!$E$18+U$7^Konstanten!$F$18)))</f>
        <v>2045.9694845372876</v>
      </c>
      <c r="AC43" s="289">
        <f>VLOOKUP('Calculation Tool'!$O$2,'Limits and Glycol'!$D$2:$E$12,2,0)*U$8^Konstanten!$E$7*$B43*$G43^Konstanten!$F$7*U$7^Konstanten!$G$7*T$8^Konstanten!$H$7*(Konstanten!$C$7-U$7^Konstanten!$I$7*Konstanten!$D$7)*(-0.00072478*G43 + 1.8694)</f>
        <v>2045.9694845372876</v>
      </c>
      <c r="AD43" s="287">
        <f t="shared" si="3"/>
        <v>19.076039178436282</v>
      </c>
      <c r="AE43" s="286">
        <f>3.6*AB43/(U$7*Konstanten!$K$3)</f>
        <v>879.51751884707971</v>
      </c>
      <c r="AF43" s="287">
        <f>'Limits and Glycol'!$I$8*0.00013555*AE43^1.7907</f>
        <v>25.372200702344685</v>
      </c>
      <c r="AG43" s="294">
        <f t="shared" si="4"/>
        <v>0</v>
      </c>
      <c r="AH43" s="281">
        <f t="shared" si="9"/>
        <v>85.94861050060166</v>
      </c>
      <c r="AI43" s="265">
        <f t="shared" si="10"/>
        <v>17.390695900129899</v>
      </c>
      <c r="AJ43" s="127">
        <f t="shared" si="5"/>
        <v>530</v>
      </c>
      <c r="AK43" s="323">
        <f>IF(ISNUMBER(VLOOKUP(F43,$AY$41:$BA$45,3,0)),VLOOKUP(F43,$AY$41:$BA$45,3,0),ROUNDUP((0.5*(1-0.1*$I$8/85)*B43/C43*(G43-140)/1000)/5,0)*5)</f>
        <v>725</v>
      </c>
      <c r="AL43" s="265">
        <f t="shared" si="11"/>
        <v>31.432245947933481</v>
      </c>
      <c r="AM43" s="265">
        <f>IF(ISNUMBER(VLOOKUP(F43,$AY$41:$BC$45,5,0)),VLOOKUP(F43,$AY$41:$BC$45,5,0),F43^2*BF43+F43*BG43+BH43)</f>
        <v>39.432245947933481</v>
      </c>
      <c r="AN43" s="270">
        <f>IF(ISNUMBER(VLOOKUP(F43,$AY$41:$BD$45,6,0)),VLOOKUP(F43,$AY$41:$BD$45,6,0),F43^2*BI43+F43*BJ43+BK43)</f>
        <v>18</v>
      </c>
      <c r="AO43" s="276">
        <f>IF(ISNUMBER(VLOOKUP(F43,$AY$41:$BE$45,7,0)),VLOOKUP(F43,$AY$41:$BE$45,7,0),F43^2*BL43+F43*BM43+BN43)</f>
        <v>186</v>
      </c>
      <c r="AR43" s="110"/>
      <c r="AY43">
        <v>60</v>
      </c>
      <c r="AZ43">
        <f t="shared" si="12"/>
        <v>3600</v>
      </c>
      <c r="BA43" s="214">
        <v>725</v>
      </c>
      <c r="BB43" s="194">
        <v>31.432245947933481</v>
      </c>
      <c r="BC43" s="195">
        <v>39.432245947933481</v>
      </c>
      <c r="BD43" s="201">
        <v>18</v>
      </c>
      <c r="BE43" s="206">
        <v>186</v>
      </c>
      <c r="BF43">
        <f t="shared" ref="BF43:BF45" si="81">BF42</f>
        <v>1.0455861161341273E-3</v>
      </c>
      <c r="BG43">
        <f t="shared" si="75"/>
        <v>0.24822337676301398</v>
      </c>
      <c r="BH43">
        <f t="shared" si="76"/>
        <v>20.49292377881104</v>
      </c>
      <c r="BI43">
        <f t="shared" ref="BI43:BI45" si="82">BI42</f>
        <v>1.0446428571428568E-2</v>
      </c>
      <c r="BJ43">
        <f t="shared" si="77"/>
        <v>-0.64307142857142818</v>
      </c>
      <c r="BK43">
        <f t="shared" si="78"/>
        <v>19.079999999999991</v>
      </c>
      <c r="BL43">
        <f t="shared" ref="BL43:BL45" si="83">BL42</f>
        <v>8.8928571428571399E-2</v>
      </c>
      <c r="BM43">
        <f t="shared" si="79"/>
        <v>-5.7214285714285698</v>
      </c>
      <c r="BN43">
        <f t="shared" si="80"/>
        <v>211.2</v>
      </c>
      <c r="BP43" s="249">
        <f t="shared" si="18"/>
        <v>1.3754449722435579E-2</v>
      </c>
      <c r="BQ43" s="250">
        <f t="shared" si="32"/>
        <v>9.9719760487657947</v>
      </c>
      <c r="BR43" s="250">
        <f t="shared" si="6"/>
        <v>9.9719760487657947</v>
      </c>
      <c r="BS43" s="249">
        <f t="shared" si="33"/>
        <v>1.3754449722435579E-2</v>
      </c>
      <c r="BT43" s="251">
        <f t="shared" si="21"/>
        <v>0.85948610500601663</v>
      </c>
      <c r="BU43" s="101">
        <f t="shared" si="22"/>
        <v>17.390695900129899</v>
      </c>
    </row>
    <row r="44" spans="2:73" x14ac:dyDescent="0.3">
      <c r="B44" s="117">
        <f t="shared" si="74"/>
        <v>2520</v>
      </c>
      <c r="C44" s="253">
        <v>1.49</v>
      </c>
      <c r="D44" s="410"/>
      <c r="E44" s="412"/>
      <c r="F44" s="259">
        <f>'Calculation Tool'!F44</f>
        <v>40</v>
      </c>
      <c r="G44" s="120">
        <f t="shared" si="8"/>
        <v>495</v>
      </c>
      <c r="H44" s="305">
        <f>VLOOKUP('Calculation Tool'!$O$2,'Limits and Glycol'!$D$2:$E$12,2,0)*I$8^Konstanten!$E$4*$B44*$G44^Konstanten!$F$4*I$7^Konstanten!$G$4*H$8^Konstanten!$H$4*(Konstanten!$C$4-I$7^Konstanten!$I$4*Konstanten!$D$4)</f>
        <v>6755.452083789698</v>
      </c>
      <c r="I44" s="287">
        <f>Konstanten!$C$23*(((($K$2+$K$3)*Konstanten!$I$23+$K$4)/(Konstanten!$I$23+2))^Konstanten!$D$23*$G44^Konstanten!$E$23*ABS($I$7)^Konstanten!$F$23+Konstanten!$H$23*($G44*$B44/C44)^Konstanten!$G$23)</f>
        <v>65.153856957502356</v>
      </c>
      <c r="J44" s="286">
        <f>3.6*H44/(I$7*Konstanten!$K$3)</f>
        <v>580.80421045661649</v>
      </c>
      <c r="K44" s="287">
        <f>'Limits and Glycol'!$M$8*0.00017425*J44^1.7977</f>
        <v>16.220680843225395</v>
      </c>
      <c r="L44" s="288">
        <f>VLOOKUP('Calculation Tool'!$O$2,'Limits and Glycol'!$D$2:$E$12,2,0)*I$8^Konstanten!$E$5*$B44*$G44^Konstanten!$F$5*I$7^Konstanten!$G$5*H$8^Konstanten!$H$5*(Konstanten!$C$5-I$7^Konstanten!$I$5*Konstanten!$D$5)</f>
        <v>4995.9046251459758</v>
      </c>
      <c r="M44" s="287">
        <f>Konstanten!$C$24*(((($K$2+$K$3)*Konstanten!$I$24+$K$4)/(Konstanten!$I$24+2))^Konstanten!$D$24*$G44^Konstanten!$E$24*ABS($I$7)^Konstanten!$F$24+Konstanten!$H$24*($G44*$B44/C44)^Konstanten!$G$24)</f>
        <v>53.069344617796411</v>
      </c>
      <c r="N44" s="286">
        <f>3.6*L44/(I$7*Konstanten!$K$3)</f>
        <v>429.52601918193062</v>
      </c>
      <c r="O44" s="287">
        <f>'Limits and Glycol'!$M$8*0.00095493*N44^1.7569</f>
        <v>40.352528178816016</v>
      </c>
      <c r="P44" s="257"/>
      <c r="Q44" s="257"/>
      <c r="R44" s="410"/>
      <c r="S44" s="259">
        <v>40</v>
      </c>
      <c r="T44" s="290">
        <f>IF(T$10="trocken",U44,IF(Konstanten!$A$18*(U$9^Konstanten!$B$18*U$8^Konstanten!$C$18*U44^Konstanten!$D$18*T$8^Konstanten!$E$18+U$7^Konstanten!$F$18)&lt;1,U44,U44*Konstanten!$A$18*(U$9^Konstanten!$B$18*U$8^Konstanten!$C$18*U44^Konstanten!$D$18*T$8^Konstanten!$E$18+U$7^Konstanten!$F$18)))</f>
        <v>1378.8938650627754</v>
      </c>
      <c r="U44" s="290">
        <f>VLOOKUP('Calculation Tool'!$O$2,'Limits and Glycol'!$D$2:$E$12,2,0)*U$8^Konstanten!$E$6*$B44*$G44^Konstanten!$F$6*U$7^Konstanten!$G$6*T$8^Konstanten!$H$6*(Konstanten!$C$6-U$7^Konstanten!$I$6*Konstanten!$D$6)*(-0.00072478*G44 + 1.8694)</f>
        <v>1378.8938650627754</v>
      </c>
      <c r="V44" s="287">
        <f t="shared" si="0"/>
        <v>18.037698644276716</v>
      </c>
      <c r="W44" s="286">
        <f>3.6*T44/(U$7*Konstanten!$K$3)</f>
        <v>592.75630458767466</v>
      </c>
      <c r="X44" s="287">
        <f>'Limits and Glycol'!$I$8*0.00017425*W44^1.7977</f>
        <v>16.825667365333373</v>
      </c>
      <c r="Y44" s="294">
        <f t="shared" si="25"/>
        <v>0</v>
      </c>
      <c r="Z44" s="281">
        <f t="shared" si="1"/>
        <v>91.982788234623868</v>
      </c>
      <c r="AA44" s="265">
        <f t="shared" si="2"/>
        <v>17.075751116578459</v>
      </c>
      <c r="AB44" s="289">
        <f>IF(T$10="trocken",AC44,IF(Konstanten!$A$18*(U$9^Konstanten!$B$18*U$8^Konstanten!$C$18*AC44^Konstanten!$D$18*T$8^Konstanten!$E$18+U$7^Konstanten!$F$18)&lt;1,AC44,AC44*Konstanten!$A$18*(U$9^Konstanten!$B$18*U$8^Konstanten!$C$18*AC44^Konstanten!$D$18*T$8^Konstanten!$E$18+U$7^Konstanten!$F$18)))</f>
        <v>1309.3541397464721</v>
      </c>
      <c r="AC44" s="289">
        <f>VLOOKUP('Calculation Tool'!$O$2,'Limits and Glycol'!$D$2:$E$12,2,0)*U$8^Konstanten!$E$7*$B44*$G44^Konstanten!$F$7*U$7^Konstanten!$G$7*T$8^Konstanten!$H$7*(Konstanten!$C$7-U$7^Konstanten!$I$7*Konstanten!$D$7)*(-0.00072478*G44 + 1.8694)</f>
        <v>1309.3541397464721</v>
      </c>
      <c r="AD44" s="287">
        <f t="shared" si="3"/>
        <v>18.514896965198339</v>
      </c>
      <c r="AE44" s="286">
        <f>3.6*AB44/(U$7*Konstanten!$K$3)</f>
        <v>562.86269809269095</v>
      </c>
      <c r="AF44" s="287">
        <f>'Limits and Glycol'!$I$8*0.00013555*AE44^1.7907</f>
        <v>11.408938041946895</v>
      </c>
      <c r="AG44" s="294">
        <f t="shared" si="4"/>
        <v>0</v>
      </c>
      <c r="AH44" s="281">
        <f t="shared" si="9"/>
        <v>89.156053453116286</v>
      </c>
      <c r="AI44" s="265">
        <f t="shared" si="10"/>
        <v>17.219079715548474</v>
      </c>
      <c r="AJ44" s="127">
        <f t="shared" si="5"/>
        <v>285</v>
      </c>
      <c r="AK44" s="323">
        <f>IF(ISNUMBER(VLOOKUP(F44,$AY$41:$BA$45,3,0)),VLOOKUP(F44,$AY$41:$BA$45,3,0),ROUNDUP((0.5*(1-0.1*$I$8/85)*B44/C44*(G44-140)/1000)/5,0)*5)</f>
        <v>435</v>
      </c>
      <c r="AL44" s="265">
        <f t="shared" si="11"/>
        <v>22.204318165045532</v>
      </c>
      <c r="AM44" s="265">
        <f>IF(ISNUMBER(VLOOKUP(F44,$AY$41:$BC$45,5,0)),VLOOKUP(F44,$AY$41:$BC$45,5,0),F44^2*BF44+F44*BG44+BH44)</f>
        <v>30.204318165045532</v>
      </c>
      <c r="AN44" s="270">
        <f>IF(ISNUMBER(VLOOKUP(F44,$AY$41:$BD$45,6,0)),VLOOKUP(F44,$AY$41:$BD$45,6,0),F44^2*BI44+F44*BJ44+BK44)</f>
        <v>11.7</v>
      </c>
      <c r="AO44" s="276">
        <f>IF(ISNUMBER(VLOOKUP(F44,$AY$41:$BE$45,7,0)),VLOOKUP(F44,$AY$41:$BE$45,7,0),F44^2*BL44+F44*BM44+BN44)</f>
        <v>138</v>
      </c>
      <c r="AR44" s="110"/>
      <c r="AY44">
        <v>40</v>
      </c>
      <c r="AZ44">
        <f t="shared" si="12"/>
        <v>1600</v>
      </c>
      <c r="BA44" s="214">
        <v>435</v>
      </c>
      <c r="BB44" s="194">
        <v>22.204318165045532</v>
      </c>
      <c r="BC44" s="195">
        <v>30.204318165045532</v>
      </c>
      <c r="BD44" s="201">
        <v>11.7</v>
      </c>
      <c r="BE44" s="206">
        <v>138</v>
      </c>
      <c r="BF44">
        <f t="shared" si="81"/>
        <v>1.0455861161341273E-3</v>
      </c>
      <c r="BG44">
        <f t="shared" si="75"/>
        <v>0.24822337676301398</v>
      </c>
      <c r="BH44">
        <f t="shared" si="76"/>
        <v>20.49292377881104</v>
      </c>
      <c r="BI44">
        <f t="shared" si="82"/>
        <v>1.0446428571428568E-2</v>
      </c>
      <c r="BJ44">
        <f t="shared" si="77"/>
        <v>-0.64307142857142818</v>
      </c>
      <c r="BK44">
        <f t="shared" si="78"/>
        <v>19.079999999999991</v>
      </c>
      <c r="BL44">
        <f t="shared" si="83"/>
        <v>8.8928571428571399E-2</v>
      </c>
      <c r="BM44">
        <f t="shared" si="79"/>
        <v>-5.7214285714285698</v>
      </c>
      <c r="BN44">
        <f t="shared" si="80"/>
        <v>211.2</v>
      </c>
      <c r="BP44" s="249">
        <f t="shared" si="18"/>
        <v>1.3754449722435579E-2</v>
      </c>
      <c r="BQ44" s="250">
        <f t="shared" si="32"/>
        <v>5.9831856292594763</v>
      </c>
      <c r="BR44" s="250">
        <f t="shared" si="6"/>
        <v>5.9831856292594763</v>
      </c>
      <c r="BS44" s="249">
        <f t="shared" si="33"/>
        <v>1.3754449722435577E-2</v>
      </c>
      <c r="BT44" s="251">
        <f t="shared" si="21"/>
        <v>0.8915605345311628</v>
      </c>
      <c r="BU44" s="101">
        <f t="shared" si="22"/>
        <v>17.219079715548474</v>
      </c>
    </row>
    <row r="45" spans="2:73" x14ac:dyDescent="0.3">
      <c r="B45" s="117">
        <f t="shared" si="74"/>
        <v>2520</v>
      </c>
      <c r="C45" s="253">
        <v>1.66</v>
      </c>
      <c r="D45" s="410"/>
      <c r="E45" s="412"/>
      <c r="F45" s="259">
        <f>'Calculation Tool'!F45</f>
        <v>20</v>
      </c>
      <c r="G45" s="120">
        <f t="shared" si="8"/>
        <v>315</v>
      </c>
      <c r="H45" s="305">
        <f>VLOOKUP('Calculation Tool'!$O$2,'Limits and Glycol'!$D$2:$E$12,2,0)*I$8^Konstanten!$E$4*$B45*$G45^Konstanten!$F$4*I$7^Konstanten!$G$4*H$8^Konstanten!$H$4*(Konstanten!$C$4-I$7^Konstanten!$I$4*Konstanten!$D$4)</f>
        <v>4172.77847743041</v>
      </c>
      <c r="I45" s="287">
        <f>Konstanten!$C$23*(((($K$2+$K$3)*Konstanten!$I$23+$K$4)/(Konstanten!$I$23+2))^Konstanten!$D$23*$G45^Konstanten!$E$23*ABS($I$7)^Konstanten!$F$23+Konstanten!$H$23*($G45*$B45/C45)^Konstanten!$G$23)</f>
        <v>68.715226808198622</v>
      </c>
      <c r="J45" s="286">
        <f>3.6*H45/(I$7*Konstanten!$K$3)</f>
        <v>358.75723473931441</v>
      </c>
      <c r="K45" s="287">
        <f>'Limits and Glycol'!$M$8*0.00017425*J45^1.7977</f>
        <v>6.8224120758257643</v>
      </c>
      <c r="L45" s="288">
        <f>VLOOKUP('Calculation Tool'!$O$2,'Limits and Glycol'!$D$2:$E$12,2,0)*I$8^Konstanten!$E$5*$B45*$G45^Konstanten!$F$5*I$7^Konstanten!$G$5*H$8^Konstanten!$H$5*(Konstanten!$C$5-I$7^Konstanten!$I$5*Konstanten!$D$5)</f>
        <v>3526.7510742136483</v>
      </c>
      <c r="M45" s="287">
        <f>Konstanten!$C$24*(((($K$2+$K$3)*Konstanten!$I$24+$K$4)/(Konstanten!$I$24+2))^Konstanten!$D$24*$G45^Konstanten!$E$24*ABS($I$7)^Konstanten!$F$24+Konstanten!$H$24*($G45*$B45/C45)^Konstanten!$G$24)</f>
        <v>60.028433997538727</v>
      </c>
      <c r="N45" s="286">
        <f>3.6*L45/(I$7*Konstanten!$K$3)</f>
        <v>303.21462542098146</v>
      </c>
      <c r="O45" s="287">
        <f>'Limits and Glycol'!$M$8*0.00095493*N45^1.7569</f>
        <v>21.885595487741178</v>
      </c>
      <c r="P45" s="257"/>
      <c r="Q45" s="257"/>
      <c r="R45" s="410"/>
      <c r="S45" s="259">
        <v>20</v>
      </c>
      <c r="T45" s="292">
        <f>IF(T$10="trocken",U45,IF(Konstanten!$A$18*(U$9^Konstanten!$B$18*U$8^Konstanten!$C$18*U45^Konstanten!$D$18*T$8^Konstanten!$E$18+U$7^Konstanten!$F$18)&lt;1,U45,U45*Konstanten!$A$18*(U$9^Konstanten!$B$18*U$8^Konstanten!$C$18*U45^Konstanten!$D$18*T$8^Konstanten!$E$18+U$7^Konstanten!$F$18)))</f>
        <v>773.64795571209106</v>
      </c>
      <c r="U45" s="290">
        <f>VLOOKUP('Calculation Tool'!$O$2,'Limits and Glycol'!$D$2:$E$12,2,0)*U$8^Konstanten!$E$6*$B45*$G45^Konstanten!$F$6*U$7^Konstanten!$G$6*T$8^Konstanten!$H$6*(Konstanten!$C$6-U$7^Konstanten!$I$6*Konstanten!$D$6)*(-0.00072478*G45 + 1.8694)</f>
        <v>773.64795571209106</v>
      </c>
      <c r="V45" s="287">
        <f t="shared" si="0"/>
        <v>16.758619150127164</v>
      </c>
      <c r="W45" s="286">
        <f>3.6*T45/(U$7*Konstanten!$K$3)</f>
        <v>332.57432997486768</v>
      </c>
      <c r="X45" s="287">
        <f>'Limits and Glycol'!$I$8*0.00017425*W45^1.7977</f>
        <v>5.9534971126771845</v>
      </c>
      <c r="Y45" s="294">
        <f t="shared" si="25"/>
        <v>0</v>
      </c>
      <c r="Z45" s="281">
        <f t="shared" si="1"/>
        <v>100.03480841679634</v>
      </c>
      <c r="AA45" s="265">
        <f t="shared" si="2"/>
        <v>16.703112203851894</v>
      </c>
      <c r="AB45" s="289">
        <f>IF(T$10="trocken",AC45,IF(Konstanten!$A$18*(U$9^Konstanten!$B$18*U$8^Konstanten!$C$18*AC45^Konstanten!$D$18*T$8^Konstanten!$E$18+U$7^Konstanten!$F$18)&lt;1,AC45,AC45*Konstanten!$A$18*(U$9^Konstanten!$B$18*U$8^Konstanten!$C$18*AC45^Konstanten!$D$18*T$8^Konstanten!$E$18+U$7^Konstanten!$F$18)))</f>
        <v>742.42696557250622</v>
      </c>
      <c r="AC45" s="291">
        <f>VLOOKUP('Calculation Tool'!$O$2,'Limits and Glycol'!$D$2:$E$12,2,0)*U$8^Konstanten!$E$7*$B45*$G45^Konstanten!$F$7*U$7^Konstanten!$G$7*T$8^Konstanten!$H$7*(Konstanten!$C$7-U$7^Konstanten!$I$7*Konstanten!$D$7)*(-0.00072478*G45 + 1.8694)</f>
        <v>742.42696557250622</v>
      </c>
      <c r="AD45" s="287">
        <f t="shared" si="3"/>
        <v>17.192093501249481</v>
      </c>
      <c r="AE45" s="286">
        <f>3.6*AB45/(U$7*Konstanten!$K$3)</f>
        <v>319.1531093794261</v>
      </c>
      <c r="AF45" s="287">
        <f>'Limits and Glycol'!$I$8*0.00013555*AE45^1.7907</f>
        <v>4.1305765426097132</v>
      </c>
      <c r="AG45" s="294">
        <f t="shared" si="4"/>
        <v>0</v>
      </c>
      <c r="AH45" s="281">
        <f t="shared" si="9"/>
        <v>97.22596425893164</v>
      </c>
      <c r="AI45" s="265">
        <f t="shared" si="10"/>
        <v>16.827548702255001</v>
      </c>
      <c r="AJ45" s="127">
        <f t="shared" si="5"/>
        <v>125</v>
      </c>
      <c r="AK45" s="323">
        <f>IF(ISNUMBER(VLOOKUP(F45,$AY$41:$BA$45,3,0)),VLOOKUP(F45,$AY$41:$BA$45,3,0),ROUNDUP((0.5*(1-0.1*$I$8/85)*B45/C45*(G45-140)/1000)/5,0)*5)</f>
        <v>215</v>
      </c>
      <c r="AL45" s="268">
        <f t="shared" si="11"/>
        <v>18.773896738032178</v>
      </c>
      <c r="AM45" s="268">
        <f>IF(ISNUMBER(VLOOKUP(F45,$AY$41:$BC$45,5,0)),VLOOKUP(F45,$AY$41:$BC$45,5,0),F45^2*BF45+F45*BG45+BH45)</f>
        <v>26.773896738032178</v>
      </c>
      <c r="AN45" s="274">
        <f>IF(ISNUMBER(VLOOKUP(F45,$AY$41:$BD$45,6,0)),VLOOKUP(F45,$AY$41:$BD$45,6,0),F45^2*BI45+F45*BJ45+BK45)</f>
        <v>9.6</v>
      </c>
      <c r="AO45" s="280">
        <f>IF(ISNUMBER(VLOOKUP(F45,$AY$41:$BE$45,7,0)),VLOOKUP(F45,$AY$41:$BE$45,7,0),F45^2*BL45+F45*BM45+BN45)</f>
        <v>126</v>
      </c>
      <c r="AR45" s="110"/>
      <c r="AY45">
        <v>20</v>
      </c>
      <c r="AZ45">
        <f t="shared" si="12"/>
        <v>400</v>
      </c>
      <c r="BA45" s="217">
        <v>215</v>
      </c>
      <c r="BB45" s="210">
        <v>18.773896738032178</v>
      </c>
      <c r="BC45" s="211">
        <v>26.773896738032178</v>
      </c>
      <c r="BD45" s="212">
        <v>9.6</v>
      </c>
      <c r="BE45" s="213">
        <v>126</v>
      </c>
      <c r="BF45">
        <f t="shared" si="81"/>
        <v>1.0455861161341273E-3</v>
      </c>
      <c r="BG45">
        <f t="shared" si="75"/>
        <v>0.24822337676301398</v>
      </c>
      <c r="BH45">
        <f t="shared" si="76"/>
        <v>20.49292377881104</v>
      </c>
      <c r="BI45">
        <f t="shared" si="82"/>
        <v>1.0446428571428568E-2</v>
      </c>
      <c r="BJ45">
        <f t="shared" si="77"/>
        <v>-0.64307142857142818</v>
      </c>
      <c r="BK45">
        <f t="shared" si="78"/>
        <v>19.079999999999991</v>
      </c>
      <c r="BL45">
        <f t="shared" si="83"/>
        <v>8.8928571428571399E-2</v>
      </c>
      <c r="BM45">
        <f t="shared" si="79"/>
        <v>-5.7214285714285698</v>
      </c>
      <c r="BN45">
        <f t="shared" si="80"/>
        <v>211.2</v>
      </c>
      <c r="BP45" s="249">
        <f t="shared" si="18"/>
        <v>1.3754449722435579E-2</v>
      </c>
      <c r="BQ45" s="250">
        <f t="shared" si="32"/>
        <v>2.9572066903236496</v>
      </c>
      <c r="BR45" s="250">
        <f t="shared" si="6"/>
        <v>2.9572066903236496</v>
      </c>
      <c r="BS45" s="249">
        <f t="shared" si="33"/>
        <v>1.375444972243558E-2</v>
      </c>
      <c r="BT45" s="251">
        <f t="shared" si="21"/>
        <v>0.97225964258931641</v>
      </c>
      <c r="BU45" s="101">
        <f t="shared" si="22"/>
        <v>16.827548702255001</v>
      </c>
    </row>
    <row r="46" spans="2:73" x14ac:dyDescent="0.3">
      <c r="AK46" s="107"/>
    </row>
    <row r="47" spans="2:73" hidden="1" x14ac:dyDescent="0.3">
      <c r="D47" s="128"/>
      <c r="E47" s="128"/>
      <c r="F47" s="123"/>
      <c r="G47" s="109"/>
      <c r="H47" s="109"/>
    </row>
    <row r="48" spans="2:73" hidden="1" x14ac:dyDescent="0.3">
      <c r="D48" s="129"/>
      <c r="E48" s="129"/>
      <c r="F48" s="124"/>
      <c r="G48" s="109"/>
      <c r="H48" s="109"/>
    </row>
    <row r="49" spans="4:11" hidden="1" x14ac:dyDescent="0.3">
      <c r="D49" s="129"/>
      <c r="E49" s="129"/>
      <c r="F49" s="124"/>
      <c r="G49" s="109"/>
      <c r="H49" s="109"/>
    </row>
    <row r="50" spans="4:11" hidden="1" x14ac:dyDescent="0.3">
      <c r="D50" s="129"/>
      <c r="E50" s="129"/>
      <c r="F50" s="124"/>
      <c r="G50" s="109"/>
      <c r="H50" s="109"/>
    </row>
    <row r="51" spans="4:11" hidden="1" x14ac:dyDescent="0.3">
      <c r="D51" s="129"/>
      <c r="E51" s="129"/>
      <c r="F51" s="124"/>
      <c r="G51" s="109"/>
      <c r="H51" s="109"/>
      <c r="I51" s="121"/>
      <c r="J51" s="122"/>
      <c r="K51" s="122"/>
    </row>
    <row r="52" spans="4:11" hidden="1" x14ac:dyDescent="0.3">
      <c r="D52" s="129"/>
      <c r="E52" s="129"/>
      <c r="F52" s="124"/>
      <c r="G52" s="109"/>
      <c r="H52" s="109"/>
      <c r="I52" s="121"/>
      <c r="J52" s="122"/>
      <c r="K52" s="122"/>
    </row>
    <row r="53" spans="4:11" hidden="1" x14ac:dyDescent="0.3">
      <c r="D53" s="129"/>
      <c r="E53" s="129"/>
      <c r="F53" s="124"/>
      <c r="G53" s="109"/>
      <c r="H53" s="109"/>
    </row>
    <row r="54" spans="4:11" hidden="1" x14ac:dyDescent="0.3">
      <c r="D54" s="129"/>
      <c r="E54" s="129"/>
      <c r="F54" s="124"/>
      <c r="G54" s="109"/>
      <c r="H54" s="109"/>
    </row>
    <row r="55" spans="4:11" hidden="1" x14ac:dyDescent="0.3">
      <c r="D55" s="129"/>
      <c r="E55" s="129"/>
      <c r="F55" s="124"/>
      <c r="G55" s="109"/>
      <c r="H55" s="109"/>
    </row>
    <row r="56" spans="4:11" hidden="1" x14ac:dyDescent="0.3">
      <c r="D56" s="129"/>
      <c r="E56" s="129"/>
      <c r="F56" s="124"/>
      <c r="G56" s="109"/>
      <c r="H56" s="109"/>
    </row>
    <row r="57" spans="4:11" hidden="1" x14ac:dyDescent="0.3">
      <c r="D57" s="129"/>
      <c r="E57" s="129"/>
      <c r="F57" s="124"/>
      <c r="G57" s="109"/>
      <c r="H57" s="109"/>
    </row>
    <row r="58" spans="4:11" hidden="1" x14ac:dyDescent="0.3">
      <c r="D58" s="129"/>
      <c r="E58" s="129"/>
      <c r="F58" s="124"/>
      <c r="G58" s="109"/>
      <c r="H58" s="109"/>
    </row>
    <row r="59" spans="4:11" hidden="1" x14ac:dyDescent="0.3">
      <c r="D59" s="129"/>
      <c r="E59" s="129"/>
      <c r="F59" s="124"/>
      <c r="G59" s="109"/>
      <c r="H59" s="109"/>
    </row>
    <row r="60" spans="4:11" hidden="1" x14ac:dyDescent="0.3">
      <c r="D60" s="129"/>
      <c r="E60" s="129"/>
      <c r="F60" s="124"/>
      <c r="G60" s="109"/>
      <c r="H60" s="109"/>
    </row>
    <row r="61" spans="4:11" hidden="1" x14ac:dyDescent="0.3">
      <c r="D61" s="129"/>
      <c r="E61" s="129"/>
      <c r="F61" s="124"/>
      <c r="G61" s="109"/>
      <c r="H61" s="109"/>
    </row>
    <row r="62" spans="4:11" hidden="1" x14ac:dyDescent="0.3">
      <c r="D62" s="129"/>
      <c r="E62" s="129"/>
      <c r="F62" s="124"/>
      <c r="G62" s="109"/>
      <c r="H62" s="109"/>
    </row>
    <row r="63" spans="4:11" hidden="1" x14ac:dyDescent="0.3">
      <c r="D63" s="129"/>
      <c r="E63" s="129"/>
      <c r="F63" s="124"/>
      <c r="G63" s="109"/>
      <c r="H63" s="109"/>
    </row>
    <row r="64" spans="4:11" hidden="1" x14ac:dyDescent="0.3">
      <c r="D64" s="129"/>
      <c r="E64" s="129"/>
      <c r="F64" s="124"/>
      <c r="G64" s="109"/>
      <c r="H64" s="109"/>
    </row>
    <row r="65" spans="4:8" hidden="1" x14ac:dyDescent="0.3">
      <c r="D65" s="129"/>
      <c r="E65" s="129"/>
      <c r="F65" s="124"/>
      <c r="G65" s="109"/>
      <c r="H65" s="109"/>
    </row>
    <row r="66" spans="4:8" hidden="1" x14ac:dyDescent="0.3">
      <c r="D66" s="129"/>
      <c r="E66" s="129"/>
      <c r="F66" s="124"/>
      <c r="G66" s="109"/>
      <c r="H66" s="109"/>
    </row>
    <row r="67" spans="4:8" hidden="1" x14ac:dyDescent="0.3">
      <c r="D67" s="129"/>
      <c r="E67" s="129"/>
      <c r="F67" s="124"/>
      <c r="G67" s="109"/>
      <c r="H67" s="109"/>
    </row>
    <row r="68" spans="4:8" hidden="1" x14ac:dyDescent="0.3">
      <c r="D68" s="129"/>
      <c r="E68" s="129"/>
      <c r="F68" s="124"/>
      <c r="G68" s="109"/>
      <c r="H68" s="109"/>
    </row>
    <row r="69" spans="4:8" hidden="1" x14ac:dyDescent="0.3">
      <c r="D69" s="129"/>
      <c r="E69" s="129"/>
      <c r="F69" s="124"/>
      <c r="G69" s="109"/>
      <c r="H69" s="109"/>
    </row>
    <row r="70" spans="4:8" hidden="1" x14ac:dyDescent="0.3">
      <c r="D70" s="129"/>
      <c r="E70" s="129"/>
      <c r="F70" s="124"/>
      <c r="G70" s="109"/>
      <c r="H70" s="109"/>
    </row>
    <row r="71" spans="4:8" hidden="1" x14ac:dyDescent="0.3">
      <c r="D71" s="129"/>
      <c r="E71" s="129"/>
      <c r="F71" s="124"/>
      <c r="G71" s="109"/>
      <c r="H71" s="109"/>
    </row>
    <row r="72" spans="4:8" hidden="1" x14ac:dyDescent="0.3">
      <c r="D72" s="129"/>
      <c r="E72" s="129"/>
      <c r="F72" s="124"/>
      <c r="G72" s="109"/>
      <c r="H72" s="109"/>
    </row>
    <row r="73" spans="4:8" hidden="1" x14ac:dyDescent="0.3">
      <c r="D73" s="129"/>
      <c r="E73" s="129"/>
      <c r="F73" s="124"/>
      <c r="G73" s="109"/>
      <c r="H73" s="109"/>
    </row>
    <row r="74" spans="4:8" hidden="1" x14ac:dyDescent="0.3">
      <c r="D74" s="129"/>
      <c r="E74" s="129"/>
      <c r="F74" s="124"/>
      <c r="G74" s="109"/>
      <c r="H74" s="109"/>
    </row>
    <row r="75" spans="4:8" hidden="1" x14ac:dyDescent="0.3">
      <c r="D75" s="129"/>
      <c r="E75" s="129"/>
      <c r="F75" s="124"/>
      <c r="G75" s="109"/>
      <c r="H75" s="109"/>
    </row>
    <row r="76" spans="4:8" hidden="1" x14ac:dyDescent="0.3">
      <c r="D76" s="129"/>
      <c r="E76" s="129"/>
      <c r="F76" s="124"/>
      <c r="G76" s="109"/>
      <c r="H76" s="109"/>
    </row>
    <row r="77" spans="4:8" hidden="1" x14ac:dyDescent="0.3">
      <c r="D77" s="129"/>
      <c r="E77" s="129"/>
      <c r="F77" s="124"/>
      <c r="G77" s="109"/>
      <c r="H77" s="109"/>
    </row>
    <row r="78" spans="4:8" hidden="1" x14ac:dyDescent="0.3">
      <c r="D78" s="113"/>
      <c r="E78" s="113"/>
      <c r="F78" s="109"/>
      <c r="G78" s="109"/>
      <c r="H78" s="109"/>
    </row>
    <row r="79" spans="4:8" hidden="1" x14ac:dyDescent="0.3">
      <c r="D79" s="113"/>
      <c r="E79" s="113"/>
      <c r="F79" s="109"/>
      <c r="G79" s="109"/>
      <c r="H79" s="109"/>
    </row>
    <row r="80" spans="4:8" hidden="1" x14ac:dyDescent="0.3">
      <c r="D80" s="113"/>
      <c r="E80" s="113"/>
      <c r="F80" s="109"/>
      <c r="G80" s="109"/>
      <c r="H80" s="109"/>
    </row>
    <row r="81" spans="4:8" hidden="1" x14ac:dyDescent="0.3">
      <c r="D81" s="113"/>
      <c r="E81" s="113"/>
      <c r="F81" s="109"/>
      <c r="G81" s="109"/>
      <c r="H81" s="109"/>
    </row>
    <row r="82" spans="4:8" hidden="1" x14ac:dyDescent="0.3">
      <c r="D82" s="113"/>
      <c r="E82" s="113"/>
      <c r="F82" s="109"/>
      <c r="G82" s="109"/>
      <c r="H82" s="109"/>
    </row>
    <row r="83" spans="4:8" hidden="1" x14ac:dyDescent="0.3">
      <c r="D83" s="113"/>
      <c r="E83" s="113"/>
      <c r="F83" s="109"/>
      <c r="G83" s="109"/>
      <c r="H83" s="109"/>
    </row>
    <row r="84" spans="4:8" hidden="1" x14ac:dyDescent="0.3">
      <c r="D84" s="113"/>
      <c r="E84" s="113"/>
      <c r="F84" s="109"/>
      <c r="G84" s="109"/>
      <c r="H84" s="109"/>
    </row>
    <row r="85" spans="4:8" hidden="1" x14ac:dyDescent="0.3">
      <c r="D85" s="113"/>
      <c r="E85" s="113"/>
      <c r="F85" s="109"/>
      <c r="G85" s="109"/>
      <c r="H85" s="109"/>
    </row>
    <row r="86" spans="4:8" hidden="1" x14ac:dyDescent="0.3">
      <c r="D86" s="113"/>
      <c r="E86" s="113"/>
      <c r="F86" s="109"/>
      <c r="G86" s="109"/>
      <c r="H86" s="109"/>
    </row>
    <row r="87" spans="4:8" hidden="1" x14ac:dyDescent="0.3">
      <c r="D87" s="113"/>
      <c r="E87" s="113"/>
      <c r="F87" s="109"/>
      <c r="G87" s="109"/>
      <c r="H87" s="109"/>
    </row>
    <row r="88" spans="4:8" hidden="1" x14ac:dyDescent="0.3">
      <c r="D88" s="113"/>
      <c r="E88" s="113"/>
      <c r="F88" s="109"/>
      <c r="G88" s="109"/>
      <c r="H88" s="109"/>
    </row>
    <row r="89" spans="4:8" hidden="1" x14ac:dyDescent="0.3">
      <c r="D89" s="113"/>
      <c r="E89" s="113"/>
      <c r="F89" s="109"/>
      <c r="G89" s="109"/>
      <c r="H89" s="109"/>
    </row>
    <row r="90" spans="4:8" hidden="1" x14ac:dyDescent="0.3">
      <c r="D90" s="113"/>
      <c r="E90" s="113"/>
      <c r="F90" s="109"/>
      <c r="G90" s="109"/>
      <c r="H90" s="109"/>
    </row>
    <row r="91" spans="4:8" hidden="1" x14ac:dyDescent="0.3">
      <c r="D91" s="113"/>
      <c r="E91" s="113"/>
      <c r="F91" s="109"/>
      <c r="G91" s="109"/>
      <c r="H91" s="109"/>
    </row>
    <row r="92" spans="4:8" hidden="1" x14ac:dyDescent="0.3">
      <c r="D92" s="113"/>
      <c r="E92" s="113"/>
      <c r="F92" s="109"/>
      <c r="G92" s="109"/>
      <c r="H92" s="109"/>
    </row>
    <row r="93" spans="4:8" hidden="1" x14ac:dyDescent="0.3">
      <c r="D93" s="113"/>
      <c r="E93" s="113"/>
      <c r="F93" s="109"/>
      <c r="G93" s="109"/>
      <c r="H93" s="109"/>
    </row>
    <row r="94" spans="4:8" hidden="1" x14ac:dyDescent="0.3">
      <c r="D94" s="113"/>
      <c r="E94" s="113"/>
      <c r="F94" s="109"/>
      <c r="G94" s="109"/>
      <c r="H94" s="109"/>
    </row>
    <row r="95" spans="4:8" hidden="1" x14ac:dyDescent="0.3">
      <c r="D95" s="113"/>
      <c r="E95" s="113"/>
      <c r="F95" s="109"/>
      <c r="G95" s="109"/>
      <c r="H95" s="109"/>
    </row>
    <row r="96" spans="4:8" hidden="1" x14ac:dyDescent="0.3">
      <c r="D96" s="113"/>
      <c r="E96" s="113"/>
      <c r="F96" s="109"/>
      <c r="G96" s="109"/>
      <c r="H96" s="109"/>
    </row>
    <row r="97" spans="4:8" hidden="1" x14ac:dyDescent="0.3">
      <c r="D97" s="113"/>
      <c r="E97" s="113"/>
      <c r="F97" s="109"/>
      <c r="G97" s="109"/>
      <c r="H97" s="109"/>
    </row>
    <row r="98" spans="4:8" hidden="1" x14ac:dyDescent="0.3">
      <c r="D98" s="113"/>
      <c r="E98" s="113"/>
      <c r="F98" s="109"/>
      <c r="G98" s="109"/>
      <c r="H98" s="109"/>
    </row>
    <row r="99" spans="4:8" hidden="1" x14ac:dyDescent="0.3">
      <c r="D99" s="113"/>
      <c r="E99" s="113"/>
      <c r="F99" s="109"/>
      <c r="G99" s="109"/>
      <c r="H99" s="109"/>
    </row>
    <row r="100" spans="4:8" hidden="1" x14ac:dyDescent="0.3">
      <c r="D100" s="113"/>
      <c r="E100" s="113"/>
      <c r="F100" s="109"/>
      <c r="G100" s="109"/>
      <c r="H100" s="109"/>
    </row>
    <row r="101" spans="4:8" hidden="1" x14ac:dyDescent="0.3">
      <c r="D101" s="113"/>
      <c r="E101" s="113"/>
      <c r="F101" s="109"/>
      <c r="G101" s="109"/>
      <c r="H101" s="109"/>
    </row>
    <row r="102" spans="4:8" hidden="1" x14ac:dyDescent="0.3">
      <c r="D102" s="113"/>
      <c r="E102" s="113"/>
      <c r="F102" s="109"/>
      <c r="G102" s="109"/>
      <c r="H102" s="109"/>
    </row>
    <row r="103" spans="4:8" hidden="1" x14ac:dyDescent="0.3">
      <c r="D103" s="113"/>
      <c r="E103" s="113"/>
      <c r="F103" s="109"/>
      <c r="G103" s="109"/>
      <c r="H103" s="109"/>
    </row>
    <row r="104" spans="4:8" hidden="1" x14ac:dyDescent="0.3">
      <c r="D104" s="113"/>
      <c r="E104" s="113"/>
      <c r="F104" s="109"/>
      <c r="G104" s="109"/>
      <c r="H104" s="109"/>
    </row>
    <row r="105" spans="4:8" hidden="1" x14ac:dyDescent="0.3">
      <c r="D105" s="113"/>
      <c r="E105" s="113"/>
      <c r="F105" s="109"/>
      <c r="G105" s="109"/>
      <c r="H105" s="109"/>
    </row>
    <row r="106" spans="4:8" hidden="1" x14ac:dyDescent="0.3">
      <c r="D106" s="113"/>
      <c r="E106" s="113"/>
      <c r="F106" s="109"/>
      <c r="G106" s="109"/>
      <c r="H106" s="109"/>
    </row>
    <row r="107" spans="4:8" hidden="1" x14ac:dyDescent="0.3">
      <c r="D107" s="113"/>
      <c r="E107" s="113"/>
      <c r="F107" s="109"/>
      <c r="G107" s="109"/>
      <c r="H107" s="109"/>
    </row>
    <row r="108" spans="4:8" hidden="1" x14ac:dyDescent="0.3">
      <c r="D108" s="113"/>
      <c r="E108" s="113"/>
      <c r="F108" s="109"/>
      <c r="G108" s="109"/>
      <c r="H108" s="109"/>
    </row>
    <row r="109" spans="4:8" hidden="1" x14ac:dyDescent="0.3">
      <c r="D109" s="113"/>
      <c r="E109" s="113"/>
      <c r="F109" s="109"/>
      <c r="G109" s="109"/>
      <c r="H109" s="109"/>
    </row>
    <row r="110" spans="4:8" hidden="1" x14ac:dyDescent="0.3">
      <c r="D110" s="113"/>
      <c r="E110" s="113"/>
      <c r="F110" s="109"/>
      <c r="G110" s="109"/>
      <c r="H110" s="109"/>
    </row>
  </sheetData>
  <mergeCells count="40">
    <mergeCell ref="R36:R40"/>
    <mergeCell ref="R41:R45"/>
    <mergeCell ref="C13:C14"/>
    <mergeCell ref="E31:E35"/>
    <mergeCell ref="E36:E40"/>
    <mergeCell ref="E41:E45"/>
    <mergeCell ref="E13:E14"/>
    <mergeCell ref="G13:G14"/>
    <mergeCell ref="E16:E20"/>
    <mergeCell ref="E21:E25"/>
    <mergeCell ref="E26:E30"/>
    <mergeCell ref="R13:R14"/>
    <mergeCell ref="R16:R20"/>
    <mergeCell ref="R21:R25"/>
    <mergeCell ref="R26:R30"/>
    <mergeCell ref="R31:R35"/>
    <mergeCell ref="AK13:AO13"/>
    <mergeCell ref="D41:D45"/>
    <mergeCell ref="H1:O1"/>
    <mergeCell ref="T1:AI1"/>
    <mergeCell ref="D16:D20"/>
    <mergeCell ref="D21:D25"/>
    <mergeCell ref="D26:D30"/>
    <mergeCell ref="D31:D35"/>
    <mergeCell ref="D36:D40"/>
    <mergeCell ref="D13:D14"/>
    <mergeCell ref="F13:F14"/>
    <mergeCell ref="L13:O13"/>
    <mergeCell ref="H13:K13"/>
    <mergeCell ref="AB13:AI13"/>
    <mergeCell ref="T13:AA13"/>
    <mergeCell ref="H2:I2"/>
    <mergeCell ref="T5:U5"/>
    <mergeCell ref="S13:S14"/>
    <mergeCell ref="Y2:Z2"/>
    <mergeCell ref="H3:I3"/>
    <mergeCell ref="H4:I4"/>
    <mergeCell ref="T2:U2"/>
    <mergeCell ref="T3:U3"/>
    <mergeCell ref="T4:U4"/>
  </mergeCells>
  <conditionalFormatting sqref="H16:K45">
    <cfRule type="expression" dxfId="15" priority="6">
      <formula>$G48=1</formula>
    </cfRule>
  </conditionalFormatting>
  <conditionalFormatting sqref="L16:N16 P16:Q17 N17 L17:M45 N19:N45 P19:Q45">
    <cfRule type="expression" dxfId="14" priority="67">
      <formula>$G81=1</formula>
    </cfRule>
  </conditionalFormatting>
  <conditionalFormatting sqref="N18 P18:Q18">
    <cfRule type="expression" dxfId="13" priority="144">
      <formula>$G86=1</formula>
    </cfRule>
  </conditionalFormatting>
  <conditionalFormatting sqref="O16:O45">
    <cfRule type="expression" dxfId="12" priority="5">
      <formula>$G48=1</formula>
    </cfRule>
  </conditionalFormatting>
  <conditionalFormatting sqref="T16:V45">
    <cfRule type="expression" dxfId="11" priority="13">
      <formula>$H81=1</formula>
    </cfRule>
  </conditionalFormatting>
  <conditionalFormatting sqref="W16:W45 Y16:AA45">
    <cfRule type="expression" dxfId="10" priority="115">
      <formula>$H48=1</formula>
    </cfRule>
  </conditionalFormatting>
  <conditionalFormatting sqref="X16:X45">
    <cfRule type="expression" dxfId="9" priority="4">
      <formula>$H81=1</formula>
    </cfRule>
  </conditionalFormatting>
  <conditionalFormatting sqref="AB16:AG45">
    <cfRule type="expression" dxfId="8" priority="1">
      <formula>$H81=1</formula>
    </cfRule>
  </conditionalFormatting>
  <conditionalFormatting sqref="AH16:AI45">
    <cfRule type="expression" dxfId="7" priority="31">
      <formula>$H48=1</formula>
    </cfRule>
  </conditionalFormatting>
  <dataValidations disablePrompts="1" count="1">
    <dataValidation type="decimal" allowBlank="1" showInputMessage="1" showErrorMessage="1" sqref="S16:S45 F16:F45" xr:uid="{ED32F433-6485-4D46-A5B4-94568E07867A}">
      <formula1>20</formula1>
      <formula2>100</formula2>
    </dataValidation>
  </dataValidations>
  <pageMargins left="0.7" right="0.7" top="0.78740157499999996" bottom="0.78740157499999996" header="0.3" footer="0.3"/>
  <pageSetup paperSize="9" orientation="portrait" horizontalDpi="1200" verticalDpi="1200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C50B3753-CBCF-43BD-AFC3-56613F02E507}">
          <x14:formula1>
            <xm:f>'Limits and Glycol'!$A$1:$A$2</xm:f>
          </x14:formula1>
          <xm:sqref>M2</xm:sqref>
        </x14:dataValidation>
        <x14:dataValidation type="list" allowBlank="1" showInputMessage="1" showErrorMessage="1" xr:uid="{6A6EAC52-58A2-4FED-AB86-4C127DB648B3}">
          <x14:formula1>
            <xm:f>'Limits and Glycol'!$D$2:$D$12</xm:f>
          </x14:formula1>
          <xm:sqref>AA2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58DDB-6779-43B2-BDD0-96D0E7704379}">
  <dimension ref="A1:O31"/>
  <sheetViews>
    <sheetView workbookViewId="0">
      <selection activeCell="C11" sqref="B11:C11"/>
    </sheetView>
  </sheetViews>
  <sheetFormatPr baseColWidth="10" defaultRowHeight="14.4" x14ac:dyDescent="0.3"/>
  <cols>
    <col min="2" max="2" width="14.88671875" bestFit="1" customWidth="1"/>
    <col min="4" max="4" width="5" bestFit="1" customWidth="1"/>
    <col min="5" max="5" width="7" bestFit="1" customWidth="1"/>
    <col min="6" max="6" width="14" bestFit="1" customWidth="1"/>
    <col min="7" max="7" width="15.33203125" bestFit="1" customWidth="1"/>
    <col min="8" max="8" width="5" bestFit="1" customWidth="1"/>
    <col min="9" max="9" width="15.5546875" bestFit="1" customWidth="1"/>
    <col min="10" max="10" width="14" bestFit="1" customWidth="1"/>
    <col min="11" max="11" width="15.33203125" bestFit="1" customWidth="1"/>
    <col min="12" max="12" width="5" bestFit="1" customWidth="1"/>
    <col min="13" max="13" width="15.88671875" bestFit="1" customWidth="1"/>
    <col min="14" max="14" width="14" bestFit="1" customWidth="1"/>
    <col min="15" max="15" width="15.33203125" bestFit="1" customWidth="1"/>
  </cols>
  <sheetData>
    <row r="1" spans="1:15" x14ac:dyDescent="0.3">
      <c r="A1" t="s">
        <v>208</v>
      </c>
      <c r="B1" t="s">
        <v>249</v>
      </c>
      <c r="E1" t="s">
        <v>246</v>
      </c>
      <c r="F1" t="str">
        <f>$B$1</f>
        <v>ethylene glycol</v>
      </c>
      <c r="G1" t="str">
        <f>$B$2</f>
        <v>propylene glycol</v>
      </c>
      <c r="I1" t="s">
        <v>247</v>
      </c>
      <c r="J1" t="str">
        <f>$B$1</f>
        <v>ethylene glycol</v>
      </c>
      <c r="K1" t="str">
        <f>$B$2</f>
        <v>propylene glycol</v>
      </c>
      <c r="M1" t="s">
        <v>248</v>
      </c>
      <c r="N1" t="str">
        <f>$B$1</f>
        <v>ethylene glycol</v>
      </c>
      <c r="O1" t="str">
        <f>$B$2</f>
        <v>propylene glycol</v>
      </c>
    </row>
    <row r="2" spans="1:15" x14ac:dyDescent="0.3">
      <c r="A2" t="s">
        <v>209</v>
      </c>
      <c r="B2" t="s">
        <v>250</v>
      </c>
      <c r="D2" s="262">
        <v>0</v>
      </c>
      <c r="E2" s="9">
        <f>IF('Calculation Tool'!$AD$2='Limits and Glycol'!$F$1,'Limits and Glycol'!F2,'Limits and Glycol'!G2)</f>
        <v>1</v>
      </c>
      <c r="F2" s="27">
        <v>1</v>
      </c>
      <c r="G2" s="27">
        <v>1</v>
      </c>
      <c r="H2" s="262">
        <v>0</v>
      </c>
      <c r="I2" s="9">
        <f>IF('Calculation Tool'!$AD$2='Limits and Glycol'!$F$1,'Limits and Glycol'!J2,'Limits and Glycol'!K2)</f>
        <v>1</v>
      </c>
      <c r="J2" s="27">
        <v>1</v>
      </c>
      <c r="K2" s="27">
        <v>1</v>
      </c>
      <c r="L2" s="262">
        <v>0</v>
      </c>
      <c r="M2" s="9">
        <f>IF('Calculation Tool'!$AD$2='Limits and Glycol'!$F$1,'Limits and Glycol'!N2,'Limits and Glycol'!O2)</f>
        <v>1</v>
      </c>
      <c r="N2" s="27">
        <v>1</v>
      </c>
      <c r="O2" s="27">
        <v>1</v>
      </c>
    </row>
    <row r="3" spans="1:15" x14ac:dyDescent="0.3">
      <c r="D3" s="262">
        <v>25</v>
      </c>
      <c r="E3" s="9">
        <f>IF('Calculation Tool'!$AD$2='Limits and Glycol'!$F$1,'Limits and Glycol'!F3,'Limits and Glycol'!G3)</f>
        <v>0.94120000000000004</v>
      </c>
      <c r="F3" s="380">
        <v>0.94120000000000004</v>
      </c>
      <c r="G3" s="380">
        <v>0.96220000000000006</v>
      </c>
      <c r="H3" s="262">
        <v>25</v>
      </c>
      <c r="I3" s="9">
        <f>IF('Calculation Tool'!$AD$2='Limits and Glycol'!$F$1,'Limits and Glycol'!J3,'Limits and Glycol'!K3)</f>
        <v>1.2056</v>
      </c>
      <c r="J3" s="105">
        <v>1.2056</v>
      </c>
      <c r="K3" s="380">
        <v>1.3202</v>
      </c>
      <c r="L3" s="262">
        <v>25</v>
      </c>
      <c r="M3" s="9">
        <f>IF('Calculation Tool'!$AD$2='Limits and Glycol'!$F$1,'Limits and Glycol'!N3,'Limits and Glycol'!O3)</f>
        <v>1.1476999999999999</v>
      </c>
      <c r="N3" s="380">
        <v>1.1476999999999999</v>
      </c>
      <c r="O3" s="380">
        <v>1.1549</v>
      </c>
    </row>
    <row r="4" spans="1:15" x14ac:dyDescent="0.3">
      <c r="D4" s="262">
        <v>30</v>
      </c>
      <c r="E4" s="9">
        <f>IF('Calculation Tool'!$AD$2='Limits and Glycol'!$F$1,'Limits and Glycol'!F4,'Limits and Glycol'!G4)</f>
        <v>0.92510000000000003</v>
      </c>
      <c r="F4" s="380">
        <v>0.92510000000000003</v>
      </c>
      <c r="G4" s="380">
        <v>0.94869999999999999</v>
      </c>
      <c r="H4" s="262">
        <v>30</v>
      </c>
      <c r="I4" s="9">
        <f>IF('Calculation Tool'!$AD$2='Limits and Glycol'!$F$1,'Limits and Glycol'!J4,'Limits and Glycol'!K4)</f>
        <v>1.2531000000000001</v>
      </c>
      <c r="J4" s="105">
        <v>1.2531000000000001</v>
      </c>
      <c r="K4" s="380">
        <v>1.4045000000000001</v>
      </c>
      <c r="L4" s="262">
        <v>30</v>
      </c>
      <c r="M4" s="9">
        <f>IF('Calculation Tool'!$AD$2='Limits and Glycol'!$F$1,'Limits and Glycol'!N4,'Limits and Glycol'!O4)</f>
        <v>1.1805000000000001</v>
      </c>
      <c r="N4" s="380">
        <v>1.1805000000000001</v>
      </c>
      <c r="O4" s="380">
        <v>1.2017</v>
      </c>
    </row>
    <row r="5" spans="1:15" x14ac:dyDescent="0.3">
      <c r="D5" s="262">
        <v>35</v>
      </c>
      <c r="E5" s="9">
        <f>IF('Calculation Tool'!$AD$2='Limits and Glycol'!$F$1,'Limits and Glycol'!F5,'Limits and Glycol'!G5)</f>
        <v>0.90280000000000005</v>
      </c>
      <c r="F5" s="380">
        <v>0.90280000000000005</v>
      </c>
      <c r="G5" s="380">
        <v>0.93510000000000004</v>
      </c>
      <c r="H5" s="262">
        <v>35</v>
      </c>
      <c r="I5" s="9">
        <f>IF('Calculation Tool'!$AD$2='Limits and Glycol'!$F$1,'Limits and Glycol'!J5,'Limits and Glycol'!K5)</f>
        <v>1.3042</v>
      </c>
      <c r="J5" s="105">
        <v>1.3042</v>
      </c>
      <c r="K5" s="380">
        <v>1.4958</v>
      </c>
      <c r="L5" s="262">
        <v>35</v>
      </c>
      <c r="M5" s="9">
        <f>IF('Calculation Tool'!$AD$2='Limits and Glycol'!$F$1,'Limits and Glycol'!N5,'Limits and Glycol'!O5)</f>
        <v>1.2110000000000001</v>
      </c>
      <c r="N5" s="380">
        <v>1.2110000000000001</v>
      </c>
      <c r="O5" s="380">
        <v>1.2465999999999999</v>
      </c>
    </row>
    <row r="6" spans="1:15" x14ac:dyDescent="0.3">
      <c r="D6" s="262">
        <v>40</v>
      </c>
      <c r="E6" s="9">
        <f>IF('Calculation Tool'!$AD$2='Limits and Glycol'!$F$1,'Limits and Glycol'!F6,'Limits and Glycol'!G6)</f>
        <v>0.88360000000000005</v>
      </c>
      <c r="F6" s="380">
        <v>0.88360000000000005</v>
      </c>
      <c r="G6" s="380">
        <v>0.91639999999999999</v>
      </c>
      <c r="H6" s="262">
        <v>40</v>
      </c>
      <c r="I6" s="9">
        <f>IF('Calculation Tool'!$AD$2='Limits and Glycol'!$F$1,'Limits and Glycol'!J6,'Limits and Glycol'!K6)</f>
        <v>1.3572</v>
      </c>
      <c r="J6" s="105">
        <v>1.3572</v>
      </c>
      <c r="K6" s="380">
        <v>1.5907</v>
      </c>
      <c r="L6" s="262">
        <v>40</v>
      </c>
      <c r="M6" s="9">
        <f>IF('Calculation Tool'!$AD$2='Limits and Glycol'!$F$1,'Limits and Glycol'!N6,'Limits and Glycol'!O6)</f>
        <v>1.248</v>
      </c>
      <c r="N6" s="380">
        <v>1.248</v>
      </c>
      <c r="O6" s="380">
        <v>1.2895000000000001</v>
      </c>
    </row>
    <row r="7" spans="1:15" x14ac:dyDescent="0.3">
      <c r="D7" s="262">
        <v>45</v>
      </c>
      <c r="E7" s="9">
        <f>IF('Calculation Tool'!$AD$2='Limits and Glycol'!$F$1,'Limits and Glycol'!F7,'Limits and Glycol'!G7)</f>
        <v>0.86319999999999997</v>
      </c>
      <c r="F7" s="380">
        <v>0.86319999999999997</v>
      </c>
      <c r="G7" s="380">
        <v>0.90010000000000001</v>
      </c>
      <c r="H7" s="262">
        <v>45</v>
      </c>
      <c r="I7" s="9">
        <f>IF('Calculation Tool'!$AD$2='Limits and Glycol'!$F$1,'Limits and Glycol'!J7,'Limits and Glycol'!K7)</f>
        <v>1.4116</v>
      </c>
      <c r="J7" s="105">
        <v>1.4116</v>
      </c>
      <c r="K7" s="380">
        <v>1.6793</v>
      </c>
      <c r="L7" s="262">
        <v>45</v>
      </c>
      <c r="M7" s="9">
        <f>IF('Calculation Tool'!$AD$2='Limits and Glycol'!$F$1,'Limits and Glycol'!N7,'Limits and Glycol'!O7)</f>
        <v>1.2851999999999999</v>
      </c>
      <c r="N7" s="380">
        <v>1.2851999999999999</v>
      </c>
      <c r="O7" s="380">
        <v>1.3267</v>
      </c>
    </row>
    <row r="8" spans="1:15" x14ac:dyDescent="0.3">
      <c r="I8">
        <f>VLOOKUP('Calculation Tool'!$O$2,'Limits and Glycol'!H2:I7,2,0)</f>
        <v>1</v>
      </c>
      <c r="M8">
        <f>VLOOKUP('Calculation Tool'!$O$2,'Limits and Glycol'!L2:M7,2,0)</f>
        <v>1</v>
      </c>
    </row>
    <row r="12" spans="1:15" x14ac:dyDescent="0.3">
      <c r="D12" s="262"/>
      <c r="E12" s="9"/>
      <c r="F12" s="27"/>
      <c r="G12" s="27"/>
    </row>
    <row r="15" spans="1:15" x14ac:dyDescent="0.3">
      <c r="A15" t="s">
        <v>229</v>
      </c>
      <c r="B15">
        <f>IF('Calculation Tool'!$M$3="metric",'Limits and Glycol'!E15,'Limits and Glycol'!D15)</f>
        <v>95</v>
      </c>
      <c r="D15">
        <v>205</v>
      </c>
      <c r="E15">
        <v>95</v>
      </c>
    </row>
    <row r="16" spans="1:15" x14ac:dyDescent="0.3">
      <c r="A16" t="s">
        <v>230</v>
      </c>
      <c r="B16">
        <f>IF('Calculation Tool'!$M$3="metric",'Limits and Glycol'!E16,'Limits and Glycol'!D16)</f>
        <v>85</v>
      </c>
      <c r="D16">
        <f t="shared" ref="D16:D18" si="0">E16*1.8+32</f>
        <v>185</v>
      </c>
      <c r="E16">
        <v>85</v>
      </c>
    </row>
    <row r="17" spans="1:5" x14ac:dyDescent="0.3">
      <c r="A17" t="s">
        <v>231</v>
      </c>
      <c r="B17">
        <f>IF('Calculation Tool'!$M$3="metric",'Limits and Glycol'!E17,'Limits and Glycol'!D17)</f>
        <v>5</v>
      </c>
      <c r="D17">
        <v>40</v>
      </c>
      <c r="E17">
        <v>5</v>
      </c>
    </row>
    <row r="18" spans="1:5" x14ac:dyDescent="0.3">
      <c r="A18" t="s">
        <v>232</v>
      </c>
      <c r="B18">
        <f>IF('Calculation Tool'!$M$3="metric",'Limits and Glycol'!E18,'Limits and Glycol'!D18)</f>
        <v>10</v>
      </c>
      <c r="D18">
        <f t="shared" si="0"/>
        <v>50</v>
      </c>
      <c r="E18">
        <v>10</v>
      </c>
    </row>
    <row r="19" spans="1:5" x14ac:dyDescent="0.3">
      <c r="A19" t="s">
        <v>233</v>
      </c>
      <c r="B19">
        <f>IF('Calculation Tool'!$M$3="metric",'Limits and Glycol'!E19,'Limits and Glycol'!D19)</f>
        <v>30</v>
      </c>
      <c r="D19">
        <v>85</v>
      </c>
      <c r="E19">
        <v>30</v>
      </c>
    </row>
    <row r="20" spans="1:5" x14ac:dyDescent="0.3">
      <c r="A20" t="s">
        <v>234</v>
      </c>
      <c r="B20">
        <f>IF('Calculation Tool'!$M$3="metric",'Limits and Glycol'!E20,'Limits and Glycol'!D20)</f>
        <v>15</v>
      </c>
      <c r="D20">
        <v>60</v>
      </c>
      <c r="E20">
        <v>15</v>
      </c>
    </row>
    <row r="21" spans="1:5" x14ac:dyDescent="0.3">
      <c r="A21" t="s">
        <v>237</v>
      </c>
      <c r="B21">
        <f>IF('Calculation Tool'!$M$3="metric",'Limits and Glycol'!E21,'Limits and Glycol'!D21)</f>
        <v>8</v>
      </c>
      <c r="D21">
        <v>15</v>
      </c>
      <c r="E21">
        <v>8</v>
      </c>
    </row>
    <row r="22" spans="1:5" x14ac:dyDescent="0.3">
      <c r="A22" t="s">
        <v>238</v>
      </c>
      <c r="B22">
        <f>IF('Calculation Tool'!$M$3="metric",'Limits and Glycol'!E22,'Limits and Glycol'!D22)</f>
        <v>25</v>
      </c>
      <c r="D22">
        <f>E22*1.8</f>
        <v>45</v>
      </c>
      <c r="E22">
        <v>25</v>
      </c>
    </row>
    <row r="23" spans="1:5" x14ac:dyDescent="0.3">
      <c r="A23" t="s">
        <v>239</v>
      </c>
      <c r="B23">
        <f>IF('Calculation Tool'!$M$3="metric",'Limits and Glycol'!E23,'Limits and Glycol'!D23)</f>
        <v>1.5</v>
      </c>
      <c r="D23">
        <v>3</v>
      </c>
      <c r="E23">
        <v>1.5</v>
      </c>
    </row>
    <row r="24" spans="1:5" x14ac:dyDescent="0.3">
      <c r="A24" t="s">
        <v>240</v>
      </c>
      <c r="B24">
        <f>IF('Calculation Tool'!$M$3="metric",'Limits and Glycol'!E24,'Limits and Glycol'!D24)</f>
        <v>4</v>
      </c>
      <c r="D24">
        <v>7</v>
      </c>
      <c r="E24">
        <v>4</v>
      </c>
    </row>
    <row r="25" spans="1:5" x14ac:dyDescent="0.3">
      <c r="A25" t="s">
        <v>241</v>
      </c>
      <c r="B25">
        <f>IF('Calculation Tool'!$M$3="metric",'Limits and Glycol'!E25,'Limits and Glycol'!D25)</f>
        <v>30</v>
      </c>
      <c r="D25">
        <v>55</v>
      </c>
      <c r="E25">
        <v>30</v>
      </c>
    </row>
    <row r="26" spans="1:5" x14ac:dyDescent="0.3">
      <c r="A26" t="s">
        <v>242</v>
      </c>
      <c r="B26">
        <f>IF('Calculation Tool'!$M$3="metric",'Limits and Glycol'!E26,'Limits and Glycol'!D26)</f>
        <v>80</v>
      </c>
      <c r="D26">
        <v>140</v>
      </c>
      <c r="E26">
        <v>80</v>
      </c>
    </row>
    <row r="27" spans="1:5" x14ac:dyDescent="0.3">
      <c r="A27" t="s">
        <v>243</v>
      </c>
      <c r="B27">
        <f>IF('Calculation Tool'!$M$3="metric",'Limits and Glycol'!E27,'Limits and Glycol'!D27)</f>
        <v>5</v>
      </c>
      <c r="D27">
        <v>8</v>
      </c>
      <c r="E27">
        <v>5</v>
      </c>
    </row>
    <row r="28" spans="1:5" x14ac:dyDescent="0.3">
      <c r="A28" t="s">
        <v>244</v>
      </c>
      <c r="B28">
        <f>IF('Calculation Tool'!$M$3="metric",'Limits and Glycol'!E28,'Limits and Glycol'!D28)</f>
        <v>5</v>
      </c>
      <c r="D28">
        <v>8</v>
      </c>
      <c r="E28">
        <v>5</v>
      </c>
    </row>
    <row r="29" spans="1:5" x14ac:dyDescent="0.3">
      <c r="A29" t="s">
        <v>235</v>
      </c>
      <c r="B29">
        <v>60</v>
      </c>
    </row>
    <row r="30" spans="1:5" x14ac:dyDescent="0.3">
      <c r="A30" t="s">
        <v>236</v>
      </c>
      <c r="B30">
        <v>40</v>
      </c>
    </row>
    <row r="31" spans="1:5" x14ac:dyDescent="0.3">
      <c r="B31" t="str">
        <f>IF(AND('Calculation Tool'!K2&lt;'Limits and Glycol'!B15,'Calculation Tool'!K3&lt;'Limits and Glycol'!B16,'Calculation Tool'!AB2&gt;'Limits and Glycol'!B17,'Calculation Tool'!AB3&gt;'Limits and Glycol'!B18,'Calculation Tool'!AB4&lt;'Limits and Glycol'!B19,'Calculation Tool'!K4&gt;'Limits and Glycol'!B20),"","Grenze")</f>
        <v/>
      </c>
    </row>
  </sheetData>
  <pageMargins left="0.7" right="0.7" top="0.78740157499999996" bottom="0.78740157499999996" header="0.3" footer="0.3"/>
  <pageSetup paperSize="9" orientation="portrait" horizontalDpi="1200" verticalDpi="1200" r:id="rId1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B58B4-F378-4A46-B1FA-446A915A6B6D}">
  <dimension ref="A1:AO76"/>
  <sheetViews>
    <sheetView zoomScaleNormal="100" workbookViewId="0">
      <pane xSplit="5" ySplit="11" topLeftCell="F12" activePane="bottomRight" state="frozen"/>
      <selection pane="topRight" activeCell="E1" sqref="E1"/>
      <selection pane="bottomLeft" activeCell="C6" sqref="C6"/>
      <selection pane="bottomRight" activeCell="G13" sqref="G13"/>
    </sheetView>
  </sheetViews>
  <sheetFormatPr baseColWidth="10" defaultColWidth="0" defaultRowHeight="14.4" zeroHeight="1" x14ac:dyDescent="0.3"/>
  <cols>
    <col min="1" max="1" width="4.44140625" style="106" customWidth="1"/>
    <col min="2" max="2" width="12.44140625" hidden="1" customWidth="1"/>
    <col min="3" max="3" width="11.44140625" hidden="1" customWidth="1"/>
    <col min="4" max="4" width="11.44140625" customWidth="1"/>
    <col min="5" max="5" width="6" bestFit="1" customWidth="1"/>
    <col min="6" max="9" width="11.44140625" style="105" customWidth="1"/>
    <col min="10" max="10" width="11.44140625" customWidth="1"/>
    <col min="11" max="11" width="13.5546875" customWidth="1"/>
    <col min="12" max="16" width="11.44140625" customWidth="1"/>
    <col min="17" max="17" width="13.5546875" customWidth="1"/>
    <col min="18" max="25" width="11.44140625" customWidth="1"/>
    <col min="26" max="26" width="13.5546875" customWidth="1"/>
    <col min="27" max="34" width="11.44140625" customWidth="1"/>
    <col min="35" max="35" width="13.5546875" customWidth="1"/>
    <col min="36" max="41" width="11.44140625" customWidth="1"/>
    <col min="42" max="16384" width="11.44140625" hidden="1"/>
  </cols>
  <sheetData>
    <row r="1" spans="2:41" s="106" customFormat="1" x14ac:dyDescent="0.3">
      <c r="F1" s="417" t="s">
        <v>51</v>
      </c>
      <c r="G1" s="417"/>
      <c r="H1" s="137"/>
      <c r="I1" s="137"/>
      <c r="Q1" s="182"/>
      <c r="S1" s="417" t="s">
        <v>52</v>
      </c>
    </row>
    <row r="2" spans="2:41" s="106" customFormat="1" x14ac:dyDescent="0.3">
      <c r="F2" s="417"/>
      <c r="G2" s="417"/>
      <c r="H2" s="137"/>
      <c r="I2" s="137"/>
      <c r="Q2" s="182"/>
      <c r="S2" s="417"/>
    </row>
    <row r="3" spans="2:41" ht="15" customHeight="1" x14ac:dyDescent="0.3">
      <c r="D3" s="106"/>
      <c r="E3" s="106"/>
      <c r="F3" s="421" t="s">
        <v>53</v>
      </c>
      <c r="G3" s="422"/>
      <c r="H3" s="173">
        <v>0</v>
      </c>
      <c r="I3" s="422" t="s">
        <v>7</v>
      </c>
      <c r="J3" s="422"/>
      <c r="K3" s="174">
        <v>75</v>
      </c>
      <c r="L3" s="440" t="s">
        <v>54</v>
      </c>
      <c r="M3" s="440"/>
      <c r="N3" s="175">
        <v>0</v>
      </c>
      <c r="O3" s="106"/>
      <c r="P3" s="106"/>
      <c r="Q3" s="182"/>
      <c r="R3" s="106"/>
      <c r="S3" s="421" t="s">
        <v>55</v>
      </c>
      <c r="T3" s="422"/>
      <c r="U3" s="173">
        <v>0</v>
      </c>
      <c r="V3" s="422" t="s">
        <v>7</v>
      </c>
      <c r="W3" s="422"/>
      <c r="X3" s="174">
        <v>7</v>
      </c>
      <c r="Y3" s="440" t="s">
        <v>54</v>
      </c>
      <c r="Z3" s="440"/>
      <c r="AA3" s="175">
        <v>0</v>
      </c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</row>
    <row r="4" spans="2:41" x14ac:dyDescent="0.3">
      <c r="D4" s="106"/>
      <c r="E4" s="106"/>
      <c r="F4" s="423" t="s">
        <v>58</v>
      </c>
      <c r="G4" s="424"/>
      <c r="H4" s="176">
        <v>0</v>
      </c>
      <c r="I4" s="424" t="s">
        <v>9</v>
      </c>
      <c r="J4" s="424"/>
      <c r="K4" s="177">
        <v>20</v>
      </c>
      <c r="L4" s="441" t="s">
        <v>56</v>
      </c>
      <c r="M4" s="441"/>
      <c r="N4" s="178">
        <v>0</v>
      </c>
      <c r="O4" s="106"/>
      <c r="P4" s="106"/>
      <c r="Q4" s="182"/>
      <c r="R4" s="106"/>
      <c r="S4" s="425" t="s">
        <v>57</v>
      </c>
      <c r="T4" s="426"/>
      <c r="U4" s="179">
        <v>0</v>
      </c>
      <c r="V4" s="426" t="s">
        <v>9</v>
      </c>
      <c r="W4" s="426"/>
      <c r="X4" s="180">
        <v>27</v>
      </c>
      <c r="Y4" s="441" t="s">
        <v>56</v>
      </c>
      <c r="Z4" s="441"/>
      <c r="AA4" s="178">
        <v>0</v>
      </c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</row>
    <row r="5" spans="2:41" x14ac:dyDescent="0.3">
      <c r="D5" s="106"/>
      <c r="E5" s="106"/>
      <c r="F5" s="137"/>
      <c r="G5" s="137"/>
      <c r="H5" s="137"/>
      <c r="I5" s="137"/>
      <c r="J5" s="106"/>
      <c r="K5" s="106"/>
      <c r="L5" s="106"/>
      <c r="M5" s="106"/>
      <c r="N5" s="106"/>
      <c r="O5" s="106"/>
      <c r="P5" s="106"/>
      <c r="Q5" s="182"/>
      <c r="R5" s="106"/>
      <c r="S5" s="423" t="s">
        <v>58</v>
      </c>
      <c r="T5" s="424"/>
      <c r="U5" s="176">
        <v>0</v>
      </c>
      <c r="V5" s="424" t="s">
        <v>78</v>
      </c>
      <c r="W5" s="424"/>
      <c r="X5" s="181">
        <v>50</v>
      </c>
      <c r="Y5" s="218"/>
      <c r="Z5" s="218"/>
      <c r="AA5" s="218"/>
      <c r="AB5" s="218"/>
      <c r="AC5" s="218"/>
      <c r="AD5" s="218"/>
      <c r="AE5" s="218"/>
      <c r="AF5" s="218"/>
      <c r="AG5" s="218"/>
      <c r="AH5" s="218"/>
      <c r="AI5" s="218"/>
      <c r="AJ5" s="106"/>
      <c r="AK5" s="106"/>
      <c r="AL5" s="106"/>
      <c r="AM5" s="106"/>
      <c r="AN5" s="106"/>
      <c r="AO5" s="106"/>
    </row>
    <row r="6" spans="2:41" ht="15" hidden="1" customHeight="1" x14ac:dyDescent="0.3">
      <c r="D6" s="106"/>
      <c r="E6" s="106"/>
      <c r="F6" s="106"/>
      <c r="G6" s="138"/>
      <c r="H6" s="137"/>
      <c r="I6" s="137"/>
      <c r="J6" s="106"/>
      <c r="K6" s="106"/>
      <c r="L6" s="106"/>
      <c r="M6" s="106"/>
      <c r="N6" s="106"/>
      <c r="O6" s="106"/>
      <c r="P6" s="106"/>
      <c r="Q6" s="182"/>
      <c r="R6" s="106"/>
      <c r="T6" s="135"/>
      <c r="U6" s="136"/>
      <c r="V6" s="136"/>
      <c r="Y6" s="134">
        <f>IF(237.3*(LOG10((X5/100*(6.1078*10^((7.5*X4)/(237.3+X4))))/6.1078))/(7.5-(LOG10((X5/100*(6.1078*10^((7.5*X4)/(237.3+X4))))/6.1078)))&lt;1,1,237.3*(LOG10((X5/100*(6.1078*10^((7.5*X4)/(237.3+X4))))/6.1078))/(7.5-(LOG10((X5/100*(6.1078*10^((7.5*X4)/(237.3+X4))))/6.1078))))</f>
        <v>15.690282080229002</v>
      </c>
      <c r="Z6" s="134"/>
      <c r="AK6" s="106"/>
      <c r="AL6" s="106"/>
      <c r="AM6" s="106"/>
      <c r="AN6" s="106"/>
      <c r="AO6" s="106"/>
    </row>
    <row r="7" spans="2:41" ht="15" hidden="1" customHeight="1" x14ac:dyDescent="0.3">
      <c r="D7" s="106"/>
      <c r="E7" s="106"/>
      <c r="F7" s="106"/>
      <c r="G7" s="138"/>
      <c r="H7" s="137"/>
      <c r="I7" s="137"/>
      <c r="J7" s="106"/>
      <c r="K7" s="106"/>
      <c r="L7" s="106"/>
      <c r="M7" s="106"/>
      <c r="N7" s="106"/>
      <c r="O7" s="106"/>
      <c r="P7" s="106"/>
      <c r="Q7" s="182"/>
      <c r="R7" s="106"/>
      <c r="S7" s="135"/>
      <c r="T7" s="136"/>
      <c r="AK7" s="106"/>
      <c r="AL7" s="106"/>
      <c r="AM7" s="106"/>
      <c r="AN7" s="106"/>
      <c r="AO7" s="106"/>
    </row>
    <row r="8" spans="2:41" ht="15" hidden="1" customHeight="1" x14ac:dyDescent="0.3">
      <c r="D8" s="106"/>
      <c r="E8" s="106"/>
      <c r="F8" s="106"/>
      <c r="G8" s="138"/>
      <c r="H8" s="137"/>
      <c r="I8" s="137"/>
      <c r="J8" s="106"/>
      <c r="K8" s="106"/>
      <c r="L8" s="106"/>
      <c r="M8" s="106"/>
      <c r="N8" s="106"/>
      <c r="O8" s="106"/>
      <c r="P8" s="106"/>
      <c r="Q8" s="182"/>
      <c r="R8" s="106"/>
      <c r="S8" s="138"/>
      <c r="T8" s="139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</row>
    <row r="9" spans="2:41" x14ac:dyDescent="0.3"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82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</row>
    <row r="10" spans="2:41" x14ac:dyDescent="0.3">
      <c r="D10" s="106"/>
      <c r="E10" s="106"/>
      <c r="F10" s="418" t="s">
        <v>61</v>
      </c>
      <c r="G10" s="395"/>
      <c r="H10" s="395"/>
      <c r="I10" s="395"/>
      <c r="J10" s="395"/>
      <c r="K10" s="419"/>
      <c r="L10" s="420" t="s">
        <v>62</v>
      </c>
      <c r="M10" s="395"/>
      <c r="N10" s="395"/>
      <c r="O10" s="395"/>
      <c r="P10" s="395"/>
      <c r="Q10" s="419"/>
      <c r="R10" s="420" t="s">
        <v>61</v>
      </c>
      <c r="S10" s="395"/>
      <c r="T10" s="395"/>
      <c r="U10" s="395"/>
      <c r="V10" s="395"/>
      <c r="W10" s="395"/>
      <c r="X10" s="395"/>
      <c r="Y10" s="395"/>
      <c r="Z10" s="419"/>
      <c r="AA10" s="420" t="s">
        <v>62</v>
      </c>
      <c r="AB10" s="395"/>
      <c r="AC10" s="395"/>
      <c r="AD10" s="395"/>
      <c r="AE10" s="395"/>
      <c r="AF10" s="395"/>
      <c r="AG10" s="395"/>
      <c r="AH10" s="395"/>
      <c r="AI10" s="419"/>
      <c r="AJ10" s="438" t="s">
        <v>63</v>
      </c>
      <c r="AK10" s="438"/>
      <c r="AL10" s="438"/>
      <c r="AM10" s="438"/>
      <c r="AN10" s="439"/>
      <c r="AO10" s="106"/>
    </row>
    <row r="11" spans="2:41" ht="15.6" x14ac:dyDescent="0.35">
      <c r="B11" t="s">
        <v>1</v>
      </c>
      <c r="C11" s="27" t="s">
        <v>5</v>
      </c>
      <c r="D11" s="140" t="s">
        <v>59</v>
      </c>
      <c r="E11" s="142" t="s">
        <v>60</v>
      </c>
      <c r="F11" s="131" t="s">
        <v>66</v>
      </c>
      <c r="G11" s="131" t="s">
        <v>64</v>
      </c>
      <c r="H11" s="131" t="s">
        <v>79</v>
      </c>
      <c r="I11" s="131" t="s">
        <v>65</v>
      </c>
      <c r="J11" s="132" t="s">
        <v>67</v>
      </c>
      <c r="K11" s="225" t="s">
        <v>68</v>
      </c>
      <c r="L11" s="131" t="s">
        <v>66</v>
      </c>
      <c r="M11" s="131" t="s">
        <v>64</v>
      </c>
      <c r="N11" s="131" t="s">
        <v>79</v>
      </c>
      <c r="O11" s="131" t="s">
        <v>65</v>
      </c>
      <c r="P11" s="132" t="s">
        <v>67</v>
      </c>
      <c r="Q11" s="225" t="s">
        <v>68</v>
      </c>
      <c r="R11" s="131" t="s">
        <v>66</v>
      </c>
      <c r="S11" s="226" t="s">
        <v>69</v>
      </c>
      <c r="T11" s="226" t="s">
        <v>70</v>
      </c>
      <c r="U11" s="131" t="s">
        <v>79</v>
      </c>
      <c r="V11" s="131" t="s">
        <v>65</v>
      </c>
      <c r="W11" s="141" t="s">
        <v>80</v>
      </c>
      <c r="X11" s="132" t="s">
        <v>67</v>
      </c>
      <c r="Y11" s="132" t="s">
        <v>71</v>
      </c>
      <c r="Z11" s="225" t="s">
        <v>72</v>
      </c>
      <c r="AA11" s="239" t="s">
        <v>66</v>
      </c>
      <c r="AB11" s="226" t="s">
        <v>69</v>
      </c>
      <c r="AC11" s="226" t="s">
        <v>70</v>
      </c>
      <c r="AD11" s="131" t="s">
        <v>79</v>
      </c>
      <c r="AE11" s="131" t="s">
        <v>65</v>
      </c>
      <c r="AF11" s="141" t="s">
        <v>80</v>
      </c>
      <c r="AG11" s="132" t="s">
        <v>67</v>
      </c>
      <c r="AH11" s="132" t="s">
        <v>71</v>
      </c>
      <c r="AI11" s="225" t="s">
        <v>72</v>
      </c>
      <c r="AJ11" s="133" t="s">
        <v>73</v>
      </c>
      <c r="AK11" s="132" t="s">
        <v>74</v>
      </c>
      <c r="AL11" s="132" t="s">
        <v>75</v>
      </c>
      <c r="AM11" s="132" t="s">
        <v>76</v>
      </c>
      <c r="AN11" s="224" t="s">
        <v>77</v>
      </c>
      <c r="AO11" s="106"/>
    </row>
    <row r="12" spans="2:41" x14ac:dyDescent="0.3">
      <c r="B12" s="102">
        <v>420</v>
      </c>
      <c r="C12" s="27">
        <v>1205</v>
      </c>
      <c r="D12" s="435">
        <v>950</v>
      </c>
      <c r="E12" s="192">
        <v>100</v>
      </c>
      <c r="F12" s="143">
        <v>241.65713923068483</v>
      </c>
      <c r="G12" s="144">
        <f>(($K$3+H12)/2-$K$4)^Konstanten!$E$4*$B12*$C12^Konstanten!$F$4*($K$3-H12)^Konstanten!$G$4*(($K$3+H12)/2)^Konstanten!$H$4*(Konstanten!$C$4-(($K$3-H12)^Konstanten!$I$4*Konstanten!$D$4))</f>
        <v>2810.763412846381</v>
      </c>
      <c r="H12" s="145">
        <f>Iteration!L2</f>
        <v>65</v>
      </c>
      <c r="I12" s="147">
        <f>Konstanten!$C$23*(((($K$3+$H12)*Konstanten!$I$23+$K$4)/(Konstanten!$I$23+2))^Konstanten!$D$23*$C12^Konstanten!$E$23*ABS($K$3-$H12)^Konstanten!$F$23+Konstanten!$H$23*($C12*$B12)^Konstanten!$G$23)</f>
        <v>58.396049544792774</v>
      </c>
      <c r="J12" s="219">
        <f>0.00090879*F12^1.8254</f>
        <v>20.358986016200522</v>
      </c>
      <c r="K12" s="428">
        <f>IF($N$3&gt;60,"max. 60 m³/h",1.2041*$N$3*($N$4-$K$4))</f>
        <v>0</v>
      </c>
      <c r="L12" s="143">
        <v>136.37555384933574</v>
      </c>
      <c r="M12" s="144">
        <f>(($K$3+N12)/2-$K$4)^Konstanten!$E$5*$B12*$C12^Konstanten!$F$5*($K$3-N12)^Konstanten!$G$5*(($K$3+N12)/2)^Konstanten!$H$5*(Konstanten!$C$5-(($K$3-N12)^Konstanten!$I$5*Konstanten!$D$5))</f>
        <v>1586.2118470270366</v>
      </c>
      <c r="N12" s="145">
        <f>Iteration!AI2</f>
        <v>65</v>
      </c>
      <c r="O12" s="147">
        <f>Konstanten!$C$24*(((($K$3+$N12)*Konstanten!$I$24+$K$4)/(Konstanten!$I$24+2))^Konstanten!$D$24*$C12^Konstanten!$E$24*ABS($K$3-$N12)^Konstanten!$F$24+Konstanten!$H$24*($C12*$B12)^Konstanten!$G$24)</f>
        <v>40.518450472586437</v>
      </c>
      <c r="P12" s="146">
        <f>0.00049103*L12^1.5514</f>
        <v>1.0067885671557133</v>
      </c>
      <c r="Q12" s="431">
        <f>IF($N$3&gt;60,"max. 60 m³/h",1.2041*$N$3*($N$4-$K$4))</f>
        <v>0</v>
      </c>
      <c r="R12" s="143">
        <v>179.82882096877285</v>
      </c>
      <c r="S12" s="144">
        <f>IF(U12="Spreizung zu hoch","Spreizung zu hoch",IF(U12="Spreizung zu niedrig","Spreizung zu niedrig",Iteration!BN2))</f>
        <v>1046.3046032393142</v>
      </c>
      <c r="T12" s="144">
        <f>IF(U12="Spreizung zu hoch","Spreizung zu hoch",IF(U12="Spreizung zu niedrig","Spreizung zu niedrig",Iteration!BM2))</f>
        <v>765.43869849091345</v>
      </c>
      <c r="U12" s="145">
        <f>IF(Iteration!BK2="RLT zu niedrig","Spreizung zu niedrig",IF(Iteration!BK2-Massenstromrechnung!$X$3&gt;8,"Spreizung zu hoch",Iteration!BK2))</f>
        <v>11.993399434624498</v>
      </c>
      <c r="V12" s="147">
        <f>Konstanten!$C$25*(((($X$3+$U12)*Konstanten!$I$25+$X$4)/(Konstanten!$I$25+2))^Konstanten!$D$25*$C12^Konstanten!$E$25*ABS(U12-$X$3)^Konstanten!$F$25+Konstanten!$H$25*($C12*$B12)^Konstanten!$G$25)</f>
        <v>13.493061735334862</v>
      </c>
      <c r="W12" s="147" t="str">
        <f>IF(U12="Spreizung zu hoch","Spreizung zu hoch",IF(U12="Spreizung zu niedrig","Spreizung zu niedrig",Iteration!BL2))</f>
        <v>feucht</v>
      </c>
      <c r="X12" s="146">
        <f>IF(U12="Spreizung zu hoch","Spreizung zu hoch",IF(U12="Spreizung zu niedrig","Spreizung zu niedrig",0.00090879*R12^1.8254))</f>
        <v>11.870901464316651</v>
      </c>
      <c r="Y12" s="148">
        <f>IF(U12="Spreizung zu hoch","Spreizung zu hoch",IF(U12="Spreizung zu niedrig","Spreizung zu niedrig",3.6*(S12-T12)/2257))</f>
        <v>0.44799169565540226</v>
      </c>
      <c r="Z12" s="428">
        <f>IF($AA$3&gt;60,"max. 60m³/h",1.2041*$AA$3*($X$4-$AA$4))</f>
        <v>0</v>
      </c>
      <c r="AA12" s="143">
        <v>174.70293302220162</v>
      </c>
      <c r="AB12" s="144">
        <f>IF(AD12="Spreizung zu hoch","Spreizung zu hoch",IF(AD12="Spreizung zu niedrig","Spreizung zu niedrig",Iteration!CS2))</f>
        <v>1017.8935755219612</v>
      </c>
      <c r="AC12" s="144">
        <f>IF(AD12="Spreizung zu hoch","Spreizung zu hoch",IF(AD12="Spreizung zu niedrig","Spreizung zu niedrig",Iteration!CR2))</f>
        <v>743.7237868612583</v>
      </c>
      <c r="AD12" s="145">
        <f>IF(Iteration!CP2="RLT zu niedrig","Spreizung zu niedrig",IF(Iteration!CP2-Massenstromrechnung!$X$3&gt;8,"Spreizung zu hoch",Iteration!CP2))</f>
        <v>11.977870822390077</v>
      </c>
      <c r="AE12" s="147">
        <f>Konstanten!$C$26*(((($X$3+$U12)*Konstanten!$I$26+$X$4)/(Konstanten!$I$26+2))^Konstanten!$D$26*$C12^Konstanten!$E$26*ABS(AD12-$X$3)^Konstanten!$F$26+Konstanten!$H$26*($C12*$B12)^Konstanten!$G$26)</f>
        <v>14.495441972331603</v>
      </c>
      <c r="AF12" s="147" t="str">
        <f>IF(AD12="Spreizung zu hoch","Spreizung zu hoch",IF(AD12="Spreizung zu niedrig","Spreizung zu niedrig",Iteration!CQ2))</f>
        <v>feucht</v>
      </c>
      <c r="AG12" s="146">
        <f>IF(AD12="Spreizung zu hoch","Spreizung zu hoch",IF(AD12="Spreizung zu niedrig","Spreizung zu niedrig",0.00099843*AA12^1.7385))</f>
        <v>7.8987162561385293</v>
      </c>
      <c r="AH12" s="148">
        <f>IF(AD12="Spreizung zu hoch","Spreizung zu hoch",IF(AD12="Spreizung zu niedrig","Spreizung zu niedrig",3.6*(AB12-AC12)/2257))</f>
        <v>0.43731113831569807</v>
      </c>
      <c r="AI12" s="428">
        <f>IF($AA$3&gt;60,"max. 60m³/h",1.2041*$AA$3*($X$4-$AA$4))</f>
        <v>0</v>
      </c>
      <c r="AJ12" s="214">
        <v>220</v>
      </c>
      <c r="AK12" s="194">
        <v>39.360182971799667</v>
      </c>
      <c r="AL12" s="195">
        <v>47.360182971799667</v>
      </c>
      <c r="AM12" s="200">
        <v>8.4</v>
      </c>
      <c r="AN12" s="205">
        <v>74</v>
      </c>
      <c r="AO12" s="106"/>
    </row>
    <row r="13" spans="2:41" x14ac:dyDescent="0.3">
      <c r="B13" s="102">
        <v>420</v>
      </c>
      <c r="C13" s="27">
        <v>985</v>
      </c>
      <c r="D13" s="436"/>
      <c r="E13" s="125">
        <v>80</v>
      </c>
      <c r="F13" s="149">
        <v>194.93051383321549</v>
      </c>
      <c r="G13" s="150">
        <f>(($K$3+H13)/2-$K$4)^Konstanten!$E$4*$B13*$C13^Konstanten!$F$4*($K$3-H13)^Konstanten!$G$4*(($K$3+H13)/2)^Konstanten!$H$4*(Konstanten!$C$4-(($K$3-H13)^Konstanten!$I$4*Konstanten!$D$4))</f>
        <v>2267.2765144617601</v>
      </c>
      <c r="H13" s="151">
        <f>Iteration!L3</f>
        <v>65</v>
      </c>
      <c r="I13" s="147">
        <f>Konstanten!$C$23*(((($K$3+$H13)*Konstanten!$I$23+$K$4)/(Konstanten!$I$23+2))^Konstanten!$D$23*$C13^Konstanten!$E$23*ABS($K$3-$H13)^Konstanten!$F$23+Konstanten!$H$23*($C13*$B13)^Konstanten!$G$23)</f>
        <v>59.797517473520259</v>
      </c>
      <c r="J13" s="219">
        <f>0.00090879*F13^1.8254</f>
        <v>13.753403254620885</v>
      </c>
      <c r="K13" s="428"/>
      <c r="L13" s="149">
        <v>116.75652542862474</v>
      </c>
      <c r="M13" s="150">
        <f>(($K$3+N13)/2-$K$4)^Konstanten!$E$5*$B13*$C13^Konstanten!$F$5*($K$3-N13)^Konstanten!$G$5*(($K$3+N13)/2)^Konstanten!$H$5*(Konstanten!$C$5-(($K$3-N13)^Konstanten!$I$5*Konstanten!$D$5))</f>
        <v>1358.0189309969949</v>
      </c>
      <c r="N13" s="151">
        <f>Iteration!AI3</f>
        <v>65</v>
      </c>
      <c r="O13" s="147">
        <f>Konstanten!$C$24*(((($K$3+$N13)*Konstanten!$I$24+$K$4)/(Konstanten!$I$24+2))^Konstanten!$D$24*$C13^Konstanten!$E$24*ABS($K$3-$N13)^Konstanten!$F$24+Konstanten!$H$24*($C13*$B13)^Konstanten!$G$24)</f>
        <v>42.60568403533572</v>
      </c>
      <c r="P13" s="152">
        <f t="shared" ref="P13:P16" si="0">0.00049103*L13^1.5514</f>
        <v>0.79120317577670429</v>
      </c>
      <c r="Q13" s="431"/>
      <c r="R13" s="149">
        <v>135.10847130118813</v>
      </c>
      <c r="S13" s="150">
        <f>IF(U13="Spreizung zu hoch","Spreizung zu hoch",IF(U13="Spreizung zu niedrig","Spreizung zu niedrig",Iteration!BN3))</f>
        <v>786.10492287780835</v>
      </c>
      <c r="T13" s="150">
        <f>IF(U13="Spreizung zu hoch","Spreizung zu hoch",IF(U13="Spreizung zu niedrig","Spreizung zu niedrig",Iteration!BM3))</f>
        <v>570.05920638525231</v>
      </c>
      <c r="U13" s="151">
        <f>IF(Iteration!BK3="RLT zu niedrig","Spreizung zu niedrig",IF(Iteration!BK3-Massenstromrechnung!$X$3&gt;8,"Spreizung zu hoch",Iteration!BK3))</f>
        <v>11.993424991813642</v>
      </c>
      <c r="V13" s="147">
        <f>Konstanten!$C$25*(((($X$3+$U13)*Konstanten!$I$25+$X$4)/(Konstanten!$I$25+2))^Konstanten!$D$25*$C13^Konstanten!$E$25*ABS(U13-$X$3)^Konstanten!$F$25+Konstanten!$H$25*($C13*$B13)^Konstanten!$G$25)</f>
        <v>13.138827681985591</v>
      </c>
      <c r="W13" s="153" t="str">
        <f>IF(U13="Spreizung zu hoch","Spreizung zu hoch",IF(U13="Spreizung zu niedrig","Spreizung zu niedrig",Iteration!BL3))</f>
        <v>feucht</v>
      </c>
      <c r="X13" s="152">
        <f t="shared" ref="X13:X16" si="1">IF(U13="Spreizung zu hoch","Spreizung zu hoch",IF(U13="Spreizung zu niedrig","Spreizung zu niedrig",0.00090879*R13^1.8254))</f>
        <v>7.0438730690874261</v>
      </c>
      <c r="Y13" s="154">
        <f t="shared" ref="Y13:Y41" si="2">IF(U13="Spreizung zu hoch","Spreizung zu hoch",IF(U13="Spreizung zu niedrig","Spreizung zu niedrig",3.6*(S13-T13)/2257))</f>
        <v>0.34460105421940707</v>
      </c>
      <c r="Z13" s="428"/>
      <c r="AA13" s="149">
        <v>131.8582377252647</v>
      </c>
      <c r="AB13" s="150">
        <f>IF(AD13="Spreizung zu hoch","Spreizung zu hoch",IF(AD13="Spreizung zu niedrig","Spreizung zu niedrig",Iteration!CS3))</f>
        <v>768.25714206872431</v>
      </c>
      <c r="AC13" s="150">
        <f>IF(AD13="Spreizung zu hoch","Spreizung zu hoch",IF(AD13="Spreizung zu niedrig","Spreizung zu niedrig",Iteration!CR3))</f>
        <v>556.4992016694282</v>
      </c>
      <c r="AD13" s="151">
        <f>IF(Iteration!CP3="RLT zu niedrig","Spreizung zu niedrig",IF(Iteration!CP3-Massenstromrechnung!$X$3&gt;8,"Spreizung zu hoch",Iteration!CP3))</f>
        <v>11.97793827035966</v>
      </c>
      <c r="AE13" s="147">
        <f>Konstanten!$C$26*(((($X$3+$U13)*Konstanten!$I$26+$X$4)/(Konstanten!$I$26+2))^Konstanten!$D$26*$C13^Konstanten!$E$26*ABS(AD13-$X$3)^Konstanten!$F$26+Konstanten!$H$26*($C13*$B13)^Konstanten!$G$26)</f>
        <v>14.039730000668218</v>
      </c>
      <c r="AF13" s="153" t="str">
        <f>IF(AD13="Spreizung zu hoch","Spreizung zu hoch",IF(AD13="Spreizung zu niedrig","Spreizung zu niedrig",Iteration!CQ3))</f>
        <v>feucht</v>
      </c>
      <c r="AG13" s="152">
        <f t="shared" ref="AG13:AG16" si="3">IF(AD13="Spreizung zu hoch","Spreizung zu hoch",IF(AD13="Spreizung zu niedrig","Spreizung zu niedrig",0.00099843*AA13^1.7385))</f>
        <v>4.8431074643576961</v>
      </c>
      <c r="AH13" s="154">
        <f t="shared" ref="AH13:AH41" si="4">IF(AD13="Spreizung zu hoch","Spreizung zu hoch",IF(AD13="Spreizung zu niedrig","Spreizung zu niedrig",3.6*(AB13-AC13)/2257))</f>
        <v>0.33776188987038813</v>
      </c>
      <c r="AI13" s="428"/>
      <c r="AJ13" s="214">
        <v>175</v>
      </c>
      <c r="AK13" s="194">
        <v>32.950672290633172</v>
      </c>
      <c r="AL13" s="195">
        <v>40.950672290633172</v>
      </c>
      <c r="AM13" s="201">
        <v>4.5999999999999996</v>
      </c>
      <c r="AN13" s="206">
        <v>44</v>
      </c>
      <c r="AO13" s="106"/>
    </row>
    <row r="14" spans="2:41" x14ac:dyDescent="0.3">
      <c r="B14" s="102">
        <v>420</v>
      </c>
      <c r="C14" s="27">
        <v>735</v>
      </c>
      <c r="D14" s="436"/>
      <c r="E14" s="125">
        <v>60</v>
      </c>
      <c r="F14" s="149">
        <v>142.67658776811678</v>
      </c>
      <c r="G14" s="150">
        <f>(($K$3+H14)/2-$K$4)^Konstanten!$E$4*$B14*$C14^Konstanten!$F$4*($K$3-H14)^Konstanten!$G$4*(($K$3+H14)/2)^Konstanten!$H$4*(Konstanten!$C$4-(($K$3-H14)^Konstanten!$I$4*Konstanten!$D$4))</f>
        <v>1659.5004560803252</v>
      </c>
      <c r="H14" s="151">
        <f>Iteration!L4</f>
        <v>65</v>
      </c>
      <c r="I14" s="147">
        <f>Konstanten!$C$23*(((($K$3+$H14)*Konstanten!$I$23+$K$4)/(Konstanten!$I$23+2))^Konstanten!$D$23*$C14^Konstanten!$E$23*ABS($K$3-$H14)^Konstanten!$F$23+Konstanten!$H$23*($C14*$B14)^Konstanten!$G$23)</f>
        <v>61.902677762921989</v>
      </c>
      <c r="J14" s="219">
        <f>0.00090879*F14^1.8254</f>
        <v>7.780705618865853</v>
      </c>
      <c r="K14" s="428"/>
      <c r="L14" s="149">
        <v>93.178696085868324</v>
      </c>
      <c r="M14" s="150">
        <f>(($K$3+N14)/2-$K$4)^Konstanten!$E$5*$B14*$C14^Konstanten!$F$5*($K$3-N14)^Konstanten!$G$5*(($K$3+N14)/2)^Konstanten!$H$5*(Konstanten!$C$5-(($K$3-N14)^Konstanten!$I$5*Konstanten!$D$5))</f>
        <v>1083.7803950202326</v>
      </c>
      <c r="N14" s="151">
        <f>Iteration!AI4</f>
        <v>65</v>
      </c>
      <c r="O14" s="147">
        <f>Konstanten!$C$24*(((($K$3+$N14)*Konstanten!$I$24+$K$4)/(Konstanten!$I$24+2))^Konstanten!$D$24*$C14^Konstanten!$E$24*ABS($K$3-$N14)^Konstanten!$F$24+Konstanten!$H$24*($C14*$B14)^Konstanten!$G$24)</f>
        <v>46.018703997576687</v>
      </c>
      <c r="P14" s="152">
        <f t="shared" si="0"/>
        <v>0.5575782757042218</v>
      </c>
      <c r="Q14" s="431"/>
      <c r="R14" s="149">
        <v>89.195889833699582</v>
      </c>
      <c r="S14" s="150">
        <f>IF(U14="Spreizung zu hoch","Spreizung zu hoch",IF(U14="Spreizung zu niedrig","Spreizung zu niedrig",Iteration!BN4))</f>
        <v>518.96908268765969</v>
      </c>
      <c r="T14" s="150">
        <f>IF(U14="Spreizung zu hoch","Spreizung zu hoch",IF(U14="Spreizung zu niedrig","Spreizung zu niedrig",Iteration!BM4))</f>
        <v>371.57042295826443</v>
      </c>
      <c r="U14" s="151">
        <f>IF(Iteration!BK4="RLT zu niedrig","Spreizung zu niedrig",IF(Iteration!BK4-Massenstromrechnung!$X$3&gt;8,"Spreizung zu hoch",Iteration!BK4))</f>
        <v>11.993461589311643</v>
      </c>
      <c r="V14" s="147">
        <f>Konstanten!$C$25*(((($X$3+$U14)*Konstanten!$I$25+$X$4)/(Konstanten!$I$25+2))^Konstanten!$D$25*$C14^Konstanten!$E$25*ABS(U14-$X$3)^Konstanten!$F$25+Konstanten!$H$25*($C14*$B14)^Konstanten!$G$25)</f>
        <v>12.64092020402372</v>
      </c>
      <c r="W14" s="153" t="str">
        <f>IF(U14="Spreizung zu hoch","Spreizung zu hoch",IF(U14="Spreizung zu niedrig","Spreizung zu niedrig",Iteration!BL4))</f>
        <v>feucht</v>
      </c>
      <c r="X14" s="152">
        <f t="shared" si="1"/>
        <v>3.3008289146367873</v>
      </c>
      <c r="Y14" s="154">
        <f t="shared" si="2"/>
        <v>0.23510641339203497</v>
      </c>
      <c r="Z14" s="428"/>
      <c r="AA14" s="149">
        <v>87.629529158146894</v>
      </c>
      <c r="AB14" s="150">
        <f>IF(AD14="Spreizung zu hoch","Spreizung zu hoch",IF(AD14="Spreizung zu niedrig","Spreizung zu niedrig",Iteration!CS4))</f>
        <v>510.5587837873727</v>
      </c>
      <c r="AC14" s="150">
        <f>IF(AD14="Spreizung zu hoch","Spreizung zu hoch",IF(AD14="Spreizung zu niedrig","Spreizung zu niedrig",Iteration!CR4))</f>
        <v>365.21889276272867</v>
      </c>
      <c r="AD14" s="151">
        <f>IF(Iteration!CP4="RLT zu niedrig","Spreizung zu niedrig",IF(Iteration!CP4-Massenstromrechnung!$X$3&gt;8,"Spreizung zu hoch",Iteration!CP4))</f>
        <v>11.978034944648634</v>
      </c>
      <c r="AE14" s="147">
        <f>Konstanten!$C$26*(((($X$3+$U14)*Konstanten!$I$26+$X$4)/(Konstanten!$I$26+2))^Konstanten!$D$26*$C14^Konstanten!$E$26*ABS(AD14-$X$3)^Konstanten!$F$26+Konstanten!$H$26*($C14*$B14)^Konstanten!$G$26)</f>
        <v>13.411648456212804</v>
      </c>
      <c r="AF14" s="153" t="str">
        <f>IF(AD14="Spreizung zu hoch","Spreizung zu hoch",IF(AD14="Spreizung zu niedrig","Spreizung zu niedrig",Iteration!CQ4))</f>
        <v>feucht</v>
      </c>
      <c r="AG14" s="152">
        <f t="shared" si="3"/>
        <v>2.3802111110817319</v>
      </c>
      <c r="AH14" s="154">
        <f t="shared" si="4"/>
        <v>0.23182259977346856</v>
      </c>
      <c r="AI14" s="428"/>
      <c r="AJ14" s="214">
        <v>125</v>
      </c>
      <c r="AK14" s="194">
        <v>23.825640765700399</v>
      </c>
      <c r="AL14" s="195">
        <v>31.825640765700399</v>
      </c>
      <c r="AM14" s="201">
        <v>2.5</v>
      </c>
      <c r="AN14" s="206">
        <v>26</v>
      </c>
      <c r="AO14" s="106"/>
    </row>
    <row r="15" spans="2:41" x14ac:dyDescent="0.3">
      <c r="B15" s="102">
        <v>420</v>
      </c>
      <c r="C15" s="27">
        <v>495</v>
      </c>
      <c r="D15" s="436"/>
      <c r="E15" s="125">
        <v>40</v>
      </c>
      <c r="F15" s="149">
        <v>93.617690446944891</v>
      </c>
      <c r="G15" s="150">
        <f>(($K$3+H15)/2-$K$4)^Konstanten!$E$4*$B15*$C15^Konstanten!$F$4*($K$3-H15)^Konstanten!$G$4*(($K$3+H15)/2)^Konstanten!$H$4*(Konstanten!$C$4-(($K$3-H15)^Konstanten!$I$4*Konstanten!$D$4))</f>
        <v>1088.8864278586914</v>
      </c>
      <c r="H15" s="151">
        <f>Iteration!L5</f>
        <v>65</v>
      </c>
      <c r="I15" s="147">
        <f>Konstanten!$C$23*(((($K$3+$H15)*Konstanten!$I$23+$K$4)/(Konstanten!$I$23+2))^Konstanten!$D$23*$C15^Konstanten!$E$23*ABS($K$3-$H15)^Konstanten!$F$23+Konstanten!$H$23*($C15*$B15)^Konstanten!$G$23)</f>
        <v>64.881335390952586</v>
      </c>
      <c r="J15" s="219">
        <f>0.00090879*F15^1.8254</f>
        <v>3.605622805327755</v>
      </c>
      <c r="K15" s="428"/>
      <c r="L15" s="149">
        <v>68.713254473654459</v>
      </c>
      <c r="M15" s="150">
        <f>(($K$3+N15)/2-$K$4)^Konstanten!$E$5*$B15*$C15^Konstanten!$F$5*($K$3-N15)^Konstanten!$G$5*(($K$3+N15)/2)^Konstanten!$H$5*(Konstanten!$C$5-(($K$3-N15)^Konstanten!$I$5*Konstanten!$D$5))</f>
        <v>799.21785992750426</v>
      </c>
      <c r="N15" s="151">
        <f>Iteration!AI5</f>
        <v>65</v>
      </c>
      <c r="O15" s="147">
        <f>Konstanten!$C$24*(((($K$3+$N15)*Konstanten!$I$24+$K$4)/(Konstanten!$I$24+2))^Konstanten!$D$24*$C15^Konstanten!$E$24*ABS($K$3-$N15)^Konstanten!$F$24+Konstanten!$H$24*($C15*$B15)^Konstanten!$G$24)</f>
        <v>51.426640518125431</v>
      </c>
      <c r="P15" s="152">
        <f t="shared" si="0"/>
        <v>0.34761034052048034</v>
      </c>
      <c r="Q15" s="431"/>
      <c r="R15" s="149">
        <v>50.915417358367549</v>
      </c>
      <c r="S15" s="150">
        <f>IF(U15="Spreizung zu hoch","Spreizung zu hoch",IF(U15="Spreizung zu niedrig","Spreizung zu niedrig",Iteration!BN5))</f>
        <v>296.24037007224905</v>
      </c>
      <c r="T15" s="150">
        <f>IF(U15="Spreizung zu hoch","Spreizung zu hoch",IF(U15="Spreizung zu niedrig","Spreizung zu niedrig",Iteration!BM5))</f>
        <v>208.47751475207878</v>
      </c>
      <c r="U15" s="151">
        <f>IF(Iteration!BK5="RLT zu niedrig","Spreizung zu niedrig",IF(Iteration!BK5-Massenstromrechnung!$X$3&gt;8,"Spreizung zu hoch",Iteration!BK5))</f>
        <v>11.993510048165977</v>
      </c>
      <c r="V15" s="147">
        <f>Konstanten!$C$25*(((($X$3+$U15)*Konstanten!$I$25+$X$4)/(Konstanten!$I$25+2))^Konstanten!$D$25*$C15^Konstanten!$E$25*ABS(U15-$X$3)^Konstanten!$F$25+Konstanten!$H$25*($C15*$B15)^Konstanten!$G$25)</f>
        <v>11.998522319767904</v>
      </c>
      <c r="W15" s="153" t="str">
        <f>IF(U15="Spreizung zu hoch","Spreizung zu hoch",IF(U15="Spreizung zu niedrig","Spreizung zu niedrig",Iteration!BL5))</f>
        <v>feucht</v>
      </c>
      <c r="X15" s="152">
        <f t="shared" si="1"/>
        <v>1.1861681718046619</v>
      </c>
      <c r="Y15" s="154">
        <f t="shared" si="2"/>
        <v>0.13998505943846387</v>
      </c>
      <c r="Z15" s="428"/>
      <c r="AA15" s="149">
        <v>50.471333918945163</v>
      </c>
      <c r="AB15" s="150">
        <f>IF(AD15="Spreizung zu hoch","Spreizung zu hoch",IF(AD15="Spreizung zu niedrig","Spreizung zu niedrig",Iteration!CS5))</f>
        <v>294.05913270216456</v>
      </c>
      <c r="AC15" s="150">
        <f>IF(AD15="Spreizung zu hoch","Spreizung zu hoch",IF(AD15="Spreizung zu niedrig","Spreizung zu niedrig",Iteration!CR5))</f>
        <v>206.81319163838876</v>
      </c>
      <c r="AD15" s="151">
        <f>IF(Iteration!CP5="RLT zu niedrig","Spreizung zu niedrig",IF(Iteration!CP5-Massenstromrechnung!$X$3&gt;8,"Spreizung zu hoch",Iteration!CP5))</f>
        <v>11.978163115651753</v>
      </c>
      <c r="AE15" s="147">
        <f>Konstanten!$C$26*(((($X$3+$U15)*Konstanten!$I$26+$X$4)/(Konstanten!$I$26+2))^Konstanten!$D$26*$C15^Konstanten!$E$26*ABS(AD15-$X$3)^Konstanten!$F$26+Konstanten!$H$26*($C15*$B15)^Konstanten!$G$26)</f>
        <v>12.625419415380987</v>
      </c>
      <c r="AF15" s="153" t="str">
        <f>IF(AD15="Spreizung zu hoch","Spreizung zu hoch",IF(AD15="Spreizung zu niedrig","Spreizung zu niedrig",Iteration!CQ5))</f>
        <v>feucht</v>
      </c>
      <c r="AG15" s="152">
        <f t="shared" si="3"/>
        <v>0.91213889904303247</v>
      </c>
      <c r="AH15" s="154">
        <f t="shared" si="4"/>
        <v>0.13916056173220775</v>
      </c>
      <c r="AI15" s="428"/>
      <c r="AJ15" s="214">
        <v>75</v>
      </c>
      <c r="AK15" s="194">
        <v>14.597712982812446</v>
      </c>
      <c r="AL15" s="195">
        <v>22.597712982812446</v>
      </c>
      <c r="AM15" s="201">
        <v>1.6</v>
      </c>
      <c r="AN15" s="206">
        <v>19</v>
      </c>
      <c r="AO15" s="106"/>
    </row>
    <row r="16" spans="2:41" x14ac:dyDescent="0.3">
      <c r="B16" s="102">
        <v>420</v>
      </c>
      <c r="C16" s="27">
        <v>315</v>
      </c>
      <c r="D16" s="442"/>
      <c r="E16" s="126">
        <v>20</v>
      </c>
      <c r="F16" s="161">
        <v>57.826756663872025</v>
      </c>
      <c r="G16" s="162">
        <f>(($K$3+H16)/2-$K$4)^Konstanten!$E$4*$B16*$C16^Konstanten!$F$4*($K$3-H16)^Konstanten!$G$4*(($K$3+H16)/2)^Konstanten!$H$4*(Konstanten!$C$4-(($K$3-H16)^Konstanten!$I$4*Konstanten!$D$4))</f>
        <v>672.59478628200065</v>
      </c>
      <c r="H16" s="163">
        <f>Iteration!L6</f>
        <v>65</v>
      </c>
      <c r="I16" s="222">
        <f>Konstanten!$C$23*(((($K$3+$H16)*Konstanten!$I$23+$K$4)/(Konstanten!$I$23+2))^Konstanten!$D$23*$C16^Konstanten!$E$23*ABS($K$3-$H16)^Konstanten!$F$23+Konstanten!$H$23*($C16*$B16)^Konstanten!$G$23)</f>
        <v>68.488068883950461</v>
      </c>
      <c r="J16" s="220">
        <f>0.00090879*F16^1.8254</f>
        <v>1.4964200356644293</v>
      </c>
      <c r="K16" s="429"/>
      <c r="L16" s="161">
        <v>48.506639379769155</v>
      </c>
      <c r="M16" s="162">
        <f>(($K$3+N16)/2-$K$4)^Konstanten!$E$5*$B16*$C16^Konstanten!$F$5*($K$3-N16)^Konstanten!$G$5*(($K$3+N16)/2)^Konstanten!$H$5*(Konstanten!$C$5-(($K$3-N16)^Konstanten!$I$5*Konstanten!$D$5))</f>
        <v>564.19060360819049</v>
      </c>
      <c r="N16" s="163">
        <f>Iteration!AI6</f>
        <v>65</v>
      </c>
      <c r="O16" s="222">
        <f>Konstanten!$C$24*(((($K$3+$N16)*Konstanten!$I$24+$K$4)/(Konstanten!$I$24+2))^Konstanten!$D$24*$C16^Konstanten!$E$24*ABS($K$3-$N16)^Konstanten!$F$24+Konstanten!$H$24*($C16*$B16)^Konstanten!$G$24)</f>
        <v>58.905188069627521</v>
      </c>
      <c r="P16" s="164">
        <f t="shared" si="0"/>
        <v>0.20251630186678479</v>
      </c>
      <c r="Q16" s="432"/>
      <c r="R16" s="161">
        <v>26.819604781590709</v>
      </c>
      <c r="S16" s="162">
        <f>IF(U16="Spreizung zu hoch","Spreizung zu hoch",IF(U16="Spreizung zu niedrig","Spreizung zu niedrig",Iteration!BN6))</f>
        <v>156.04339873226709</v>
      </c>
      <c r="T16" s="162">
        <f>IF(U16="Spreizung zu hoch","Spreizung zu hoch",IF(U16="Spreizung zu niedrig","Spreizung zu niedrig",Iteration!BM6))</f>
        <v>107.67040359431887</v>
      </c>
      <c r="U16" s="163">
        <f>IF(Iteration!BK6="RLT zu niedrig","Spreizung zu niedrig",IF(Iteration!BK6-Massenstromrechnung!$X$3&gt;8,"Spreizung zu hoch",Iteration!BK6))</f>
        <v>11.993564139528385</v>
      </c>
      <c r="V16" s="222">
        <f>Konstanten!$C$25*(((($X$3+$U16)*Konstanten!$I$25+$X$4)/(Konstanten!$I$25+2))^Konstanten!$D$25*$C16^Konstanten!$E$25*ABS(U16-$X$3)^Konstanten!$F$25+Konstanten!$H$25*($C16*$B16)^Konstanten!$G$25)</f>
        <v>11.304073378096113</v>
      </c>
      <c r="W16" s="165" t="str">
        <f>IF(U16="Spreizung zu hoch","Spreizung zu hoch",IF(U16="Spreizung zu niedrig","Spreizung zu niedrig",Iteration!BL6))</f>
        <v>feucht</v>
      </c>
      <c r="X16" s="164">
        <f t="shared" si="1"/>
        <v>0.36809549523262952</v>
      </c>
      <c r="Y16" s="166">
        <f t="shared" si="2"/>
        <v>7.7156749001601077E-2</v>
      </c>
      <c r="Z16" s="429"/>
      <c r="AA16" s="161">
        <v>26.859327595023238</v>
      </c>
      <c r="AB16" s="162">
        <f>IF(AD16="Spreizung zu hoch","Spreizung zu hoch",IF(AD16="Spreizung zu niedrig","Spreizung zu niedrig",Iteration!CS6))</f>
        <v>156.48726881406679</v>
      </c>
      <c r="AC16" s="162">
        <f>IF(AD16="Spreizung zu hoch","Spreizung zu hoch",IF(AD16="Spreizung zu niedrig","Spreizung zu niedrig",Iteration!CR6))</f>
        <v>107.94356756808574</v>
      </c>
      <c r="AD16" s="163">
        <f>IF(Iteration!CP6="RLT zu niedrig","Spreizung zu niedrig",IF(Iteration!CP6-Massenstromrechnung!$X$3&gt;8,"Spreizung zu hoch",Iteration!CP6))</f>
        <v>11.978306408033681</v>
      </c>
      <c r="AE16" s="222">
        <f>Konstanten!$C$26*(((($X$3+$U16)*Konstanten!$I$26+$X$4)/(Konstanten!$I$26+2))^Konstanten!$D$26*$C16^Konstanten!$E$26*ABS(AD16-$X$3)^Konstanten!$F$26+Konstanten!$H$26*($C16*$B16)^Konstanten!$G$26)</f>
        <v>11.811278690217469</v>
      </c>
      <c r="AF16" s="165" t="str">
        <f>IF(AD16="Spreizung zu hoch","Spreizung zu hoch",IF(AD16="Spreizung zu niedrig","Spreizung zu niedrig",Iteration!CQ6))</f>
        <v>feucht</v>
      </c>
      <c r="AG16" s="164">
        <f t="shared" si="3"/>
        <v>0.30464883111012636</v>
      </c>
      <c r="AH16" s="166">
        <f t="shared" si="4"/>
        <v>7.7429031672809831E-2</v>
      </c>
      <c r="AI16" s="429"/>
      <c r="AJ16" s="215">
        <v>40</v>
      </c>
      <c r="AK16" s="196">
        <v>11.167291555799096</v>
      </c>
      <c r="AL16" s="197">
        <v>19.167291555799096</v>
      </c>
      <c r="AM16" s="203">
        <v>1.3</v>
      </c>
      <c r="AN16" s="207">
        <v>18</v>
      </c>
      <c r="AO16" s="106"/>
    </row>
    <row r="17" spans="2:41" x14ac:dyDescent="0.3">
      <c r="B17" s="102">
        <v>710</v>
      </c>
      <c r="C17" s="27">
        <v>1205</v>
      </c>
      <c r="D17" s="435">
        <v>1200</v>
      </c>
      <c r="E17" s="192">
        <v>100</v>
      </c>
      <c r="F17" s="167">
        <v>408.51564012806256</v>
      </c>
      <c r="G17" s="168">
        <f>(($K$3+H17)/2-$K$4)^Konstanten!$E$4*$B17*$C17^Konstanten!$F$4*($K$3-H17)^Konstanten!$G$4*(($K$3+H17)/2)^Konstanten!$H$4*(Konstanten!$C$4-(($K$3-H17)^Konstanten!$I$4*Konstanten!$D$4))</f>
        <v>4751.5286264784063</v>
      </c>
      <c r="H17" s="169">
        <f>Iteration!L7</f>
        <v>65</v>
      </c>
      <c r="I17" s="171">
        <f>Konstanten!$C$23*(((($K$3+$H17)*Konstanten!$I$23+$K$4)/(Konstanten!$I$23+2))^Konstanten!$D$23*$C17^Konstanten!$E$23*ABS($K$3-$H17)^Konstanten!$F$23+Konstanten!$H$23*($C17*$B17)^Konstanten!$G$23)</f>
        <v>58.534136994950302</v>
      </c>
      <c r="J17" s="219">
        <f>0.0015976*F17^1.7732</f>
        <v>68.180989202808334</v>
      </c>
      <c r="K17" s="427">
        <f>IF($N$3&gt;120,"max. 120 m³/h",1.2041*$N$3*($N$4-$K$4))</f>
        <v>0</v>
      </c>
      <c r="L17" s="167">
        <v>230.5396267453057</v>
      </c>
      <c r="M17" s="168">
        <f>(($K$3+N17)/2-$K$4)^Konstanten!$E$5*$B17*$C17^Konstanten!$F$5*($K$3-N17)^Konstanten!$G$5*(($K$3+N17)/2)^Konstanten!$H$5*(Konstanten!$C$5-(($K$3-N17)^Konstanten!$I$5*Konstanten!$D$5))</f>
        <v>2681.4533604504668</v>
      </c>
      <c r="N17" s="169">
        <f>Iteration!AI7</f>
        <v>65</v>
      </c>
      <c r="O17" s="171">
        <f>Konstanten!$C$24*(((($K$3+$N17)*Konstanten!$I$24+$K$4)/(Konstanten!$I$24+2))^Konstanten!$D$24*$C17^Konstanten!$E$24*ABS($K$3-$N17)^Konstanten!$F$24+Konstanten!$H$24*($C17*$B17)^Konstanten!$G$24)</f>
        <v>41.500878887354396</v>
      </c>
      <c r="P17" s="170">
        <f xml:space="preserve"> 0.00039605*L17^1.7088</f>
        <v>4.3172746161765305</v>
      </c>
      <c r="Q17" s="433">
        <f>IF($N$3&gt;120,"max. 120 m³/h",1.2041*$N$3*($N$4-$K$4))</f>
        <v>0</v>
      </c>
      <c r="R17" s="167">
        <v>299.28072081533986</v>
      </c>
      <c r="S17" s="168">
        <f>IF(U17="Spreizung zu hoch","Spreizung zu hoch",IF(U17="Spreizung zu niedrig","Spreizung zu niedrig",Iteration!BN7))</f>
        <v>1741.3225205920924</v>
      </c>
      <c r="T17" s="168">
        <f>IF(U17="Spreizung zu hoch","Spreizung zu hoch",IF(U17="Spreizung zu niedrig","Spreizung zu niedrig",Iteration!BM7))</f>
        <v>1293.958730212046</v>
      </c>
      <c r="U17" s="169">
        <f>IF(Iteration!BK7="RLT zu niedrig","Spreizung zu niedrig",IF(Iteration!BK7-Massenstromrechnung!$X$3&gt;8,"Spreizung zu hoch",Iteration!BK7))</f>
        <v>11.993353170207165</v>
      </c>
      <c r="V17" s="171">
        <f>Konstanten!$C$25*(((($X$3+$U17)*Konstanten!$I$25+$X$4)/(Konstanten!$I$25+2))^Konstanten!$D$25*$C17^Konstanten!$E$25*ABS(U17-$X$3)^Konstanten!$F$25+Konstanten!$H$25*($C17*$B17)^Konstanten!$G$25)</f>
        <v>13.492359308898477</v>
      </c>
      <c r="W17" s="171" t="str">
        <f>IF(U17="Spreizung zu hoch","Spreizung zu hoch",IF(U17="Spreizung zu niedrig","Spreizung zu niedrig",Iteration!BL7))</f>
        <v>feucht</v>
      </c>
      <c r="X17" s="170">
        <f>IF(U17="Spreizung zu hoch","Spreizung zu hoch",IF(U17="Spreizung zu niedrig","Spreizung zu niedrig",0.0015976*R17^1.7732))</f>
        <v>39.269093476258149</v>
      </c>
      <c r="Y17" s="172">
        <f t="shared" si="2"/>
        <v>0.71356209365005185</v>
      </c>
      <c r="Z17" s="427">
        <f>IF($AA$3&gt;120,"max. 120m³/h",1.2041*$AA$3*($X$4-$AA$4))</f>
        <v>0</v>
      </c>
      <c r="AA17" s="167">
        <v>290.74977482768566</v>
      </c>
      <c r="AB17" s="168">
        <f>IF(AD17="Spreizung zu hoch","Spreizung zu hoch",IF(AD17="Spreizung zu niedrig","Spreizung zu niedrig",Iteration!CS7))</f>
        <v>1694.0521809605245</v>
      </c>
      <c r="AC17" s="168">
        <f>IF(AD17="Spreizung zu hoch","Spreizung zu hoch",IF(AD17="Spreizung zu niedrig","Spreizung zu niedrig",Iteration!CR7))</f>
        <v>1257.2567975851648</v>
      </c>
      <c r="AD17" s="145">
        <f>IF(Iteration!CP7="RLT zu niedrig","Spreizung zu niedrig",IF(Iteration!CP7-Massenstromrechnung!$X$3&gt;8,"Spreizung zu hoch",Iteration!CP7))</f>
        <v>11.977746856731873</v>
      </c>
      <c r="AE17" s="147">
        <f>Konstanten!$C$26*(((($X$3+$U17)*Konstanten!$I$26+$X$4)/(Konstanten!$I$26+2))^Konstanten!$D$26*$C17^Konstanten!$E$26*ABS(AD17-$X$3)^Konstanten!$F$26+Konstanten!$H$26*($C17*$B17)^Konstanten!$G$26)</f>
        <v>14.432676470521725</v>
      </c>
      <c r="AF17" s="147" t="str">
        <f>IF(AD17="Spreizung zu hoch","Spreizung zu hoch",IF(AD17="Spreizung zu niedrig","Spreizung zu niedrig",Iteration!CQ7))</f>
        <v>feucht</v>
      </c>
      <c r="AG17" s="170">
        <f>IF(AD17="Spreizung zu hoch","Spreizung zu hoch",IF(AD17="Spreizung zu niedrig","Spreizung zu niedrig",0.00099843*AA17^1.7385))</f>
        <v>19.148998990721878</v>
      </c>
      <c r="AH17" s="172">
        <f t="shared" si="4"/>
        <v>0.69670508646490692</v>
      </c>
      <c r="AI17" s="427">
        <f>IF($AA$3&gt;120,"max. 120m³/h",1.2041*$AA$3*($X$4-$AA$4))</f>
        <v>0</v>
      </c>
      <c r="AJ17" s="214">
        <v>365</v>
      </c>
      <c r="AK17" s="194">
        <v>41.555752500167372</v>
      </c>
      <c r="AL17" s="195">
        <v>49.555752500167372</v>
      </c>
      <c r="AM17" s="200">
        <v>16.100000000000001</v>
      </c>
      <c r="AN17" s="205">
        <v>143</v>
      </c>
      <c r="AO17" s="106"/>
    </row>
    <row r="18" spans="2:41" x14ac:dyDescent="0.3">
      <c r="B18" s="102">
        <v>710</v>
      </c>
      <c r="C18" s="27">
        <v>985</v>
      </c>
      <c r="D18" s="436"/>
      <c r="E18" s="125">
        <v>80</v>
      </c>
      <c r="F18" s="149">
        <v>329.52539243234037</v>
      </c>
      <c r="G18" s="150">
        <f>(($K$3+H18)/2-$K$4)^Konstanten!$E$4*$B18*$C18^Konstanten!$F$4*($K$3-H18)^Konstanten!$G$4*(($K$3+H18)/2)^Konstanten!$H$4*(Konstanten!$C$4-(($K$3-H18)^Konstanten!$I$4*Konstanten!$D$4))</f>
        <v>3832.776964923451</v>
      </c>
      <c r="H18" s="151">
        <f>Iteration!L8</f>
        <v>65</v>
      </c>
      <c r="I18" s="147">
        <f>Konstanten!$C$23*(((($K$3+$H18)*Konstanten!$I$23+$K$4)/(Konstanten!$I$23+2))^Konstanten!$D$23*$C18^Konstanten!$E$23*ABS($K$3-$H18)^Konstanten!$F$23+Konstanten!$H$23*($C18*$B18)^Konstanten!$G$23)</f>
        <v>59.933365877185864</v>
      </c>
      <c r="J18" s="219">
        <f>0.0015976*F18^1.7732</f>
        <v>46.578835247852716</v>
      </c>
      <c r="K18" s="428"/>
      <c r="L18" s="149">
        <v>197.37412631981806</v>
      </c>
      <c r="M18" s="150">
        <f>(($K$3+N18)/2-$K$4)^Konstanten!$E$5*$B18*$C18^Konstanten!$F$5*($K$3-N18)^Konstanten!$G$5*(($K$3+N18)/2)^Konstanten!$H$5*(Konstanten!$C$5-(($K$3-N18)^Konstanten!$I$5*Konstanten!$D$5))</f>
        <v>2295.6986690663484</v>
      </c>
      <c r="N18" s="151">
        <f>Iteration!AI8</f>
        <v>65</v>
      </c>
      <c r="O18" s="147">
        <f>Konstanten!$C$24*(((($K$3+$N18)*Konstanten!$I$24+$K$4)/(Konstanten!$I$24+2))^Konstanten!$D$24*$C18^Konstanten!$E$24*ABS($K$3-$N18)^Konstanten!$F$24+Konstanten!$H$24*($C18*$B18)^Konstanten!$G$24)</f>
        <v>43.555629863268877</v>
      </c>
      <c r="P18" s="152">
        <f t="shared" ref="P18:P21" si="5" xml:space="preserve"> 0.00039605*L18^1.7088</f>
        <v>3.3108686118652275</v>
      </c>
      <c r="Q18" s="431"/>
      <c r="R18" s="149">
        <v>224.85343547483552</v>
      </c>
      <c r="S18" s="150">
        <f>IF(U18="Spreizung zu hoch","Spreizung zu hoch",IF(U18="Spreizung zu niedrig","Spreizung zu niedrig",Iteration!BN8))</f>
        <v>1308.2751132472897</v>
      </c>
      <c r="T18" s="150">
        <f>IF(U18="Spreizung zu hoch","Spreizung zu hoch",IF(U18="Spreizung zu niedrig","Spreizung zu niedrig",Iteration!BM8))</f>
        <v>963.67360285430175</v>
      </c>
      <c r="U18" s="151">
        <f>IF(Iteration!BK8="RLT zu niedrig","Spreizung zu niedrig",IF(Iteration!BK8-Massenstromrechnung!$X$3&gt;8,"Spreizung zu hoch",Iteration!BK8))</f>
        <v>11.99337925699658</v>
      </c>
      <c r="V18" s="147">
        <f>Konstanten!$C$25*(((($X$3+$U18)*Konstanten!$I$25+$X$4)/(Konstanten!$I$25+2))^Konstanten!$D$25*$C18^Konstanten!$E$25*ABS(U18-$X$3)^Konstanten!$F$25+Konstanten!$H$25*($C18*$B18)^Konstanten!$G$25)</f>
        <v>13.13810542644989</v>
      </c>
      <c r="W18" s="153" t="str">
        <f>IF(U18="Spreizung zu hoch","Spreizung zu hoch",IF(U18="Spreizung zu niedrig","Spreizung zu niedrig",Iteration!BL8))</f>
        <v>feucht</v>
      </c>
      <c r="X18" s="152">
        <f t="shared" ref="X18:X21" si="6">IF(U18="Spreizung zu hoch","Spreizung zu hoch",IF(U18="Spreizung zu niedrig","Spreizung zu niedrig",0.0015976*R18^1.7732))</f>
        <v>23.651369546955813</v>
      </c>
      <c r="Y18" s="154">
        <f t="shared" si="2"/>
        <v>0.54965238698039731</v>
      </c>
      <c r="Z18" s="428"/>
      <c r="AA18" s="149">
        <v>219.44414743931711</v>
      </c>
      <c r="AB18" s="150">
        <f>IF(AD18="Spreizung zu hoch","Spreizung zu hoch",IF(AD18="Spreizung zu niedrig","Spreizung zu niedrig",Iteration!CS8))</f>
        <v>1278.5817553995219</v>
      </c>
      <c r="AC18" s="150">
        <f>IF(AD18="Spreizung zu hoch","Spreizung zu hoch",IF(AD18="Spreizung zu niedrig","Spreizung zu niedrig",Iteration!CR8))</f>
        <v>940.75564113558107</v>
      </c>
      <c r="AD18" s="151">
        <f>IF(Iteration!CP8="RLT zu niedrig","Spreizung zu niedrig",IF(Iteration!CP8-Massenstromrechnung!$X$3&gt;8,"Spreizung zu hoch",Iteration!CP8))</f>
        <v>11.977815629891637</v>
      </c>
      <c r="AE18" s="147">
        <f>Konstanten!$C$26*(((($X$3+$U18)*Konstanten!$I$26+$X$4)/(Konstanten!$I$26+2))^Konstanten!$D$26*$C18^Konstanten!$E$26*ABS(AD18-$X$3)^Konstanten!$F$26+Konstanten!$H$26*($C18*$B18)^Konstanten!$G$26)</f>
        <v>13.971374399515994</v>
      </c>
      <c r="AF18" s="153" t="str">
        <f>IF(AD18="Spreizung zu hoch","Spreizung zu hoch",IF(AD18="Spreizung zu niedrig","Spreizung zu niedrig",Iteration!CQ8))</f>
        <v>feucht</v>
      </c>
      <c r="AG18" s="152">
        <f t="shared" ref="AG18:AG21" si="7">IF(AD18="Spreizung zu hoch","Spreizung zu hoch",IF(AD18="Spreizung zu niedrig","Spreizung zu niedrig",0.00099843*AA18^1.7385))</f>
        <v>11.741116588916071</v>
      </c>
      <c r="AH18" s="154">
        <f t="shared" si="4"/>
        <v>0.5388453749890062</v>
      </c>
      <c r="AI18" s="428"/>
      <c r="AJ18" s="214">
        <v>290</v>
      </c>
      <c r="AK18" s="194">
        <v>35.146241819000892</v>
      </c>
      <c r="AL18" s="195">
        <v>43.146241819000892</v>
      </c>
      <c r="AM18" s="201">
        <v>8.8000000000000007</v>
      </c>
      <c r="AN18" s="206">
        <v>84</v>
      </c>
      <c r="AO18" s="106"/>
    </row>
    <row r="19" spans="2:41" x14ac:dyDescent="0.3">
      <c r="B19" s="102">
        <v>710</v>
      </c>
      <c r="C19" s="27">
        <v>735</v>
      </c>
      <c r="D19" s="436"/>
      <c r="E19" s="125">
        <v>60</v>
      </c>
      <c r="F19" s="149">
        <v>241.19137456038789</v>
      </c>
      <c r="G19" s="150">
        <f>(($K$3+H19)/2-$K$4)^Konstanten!$E$4*$B19*$C19^Konstanten!$F$4*($K$3-H19)^Konstanten!$G$4*(($K$3+H19)/2)^Konstanten!$H$4*(Konstanten!$C$4-(($K$3-H19)^Konstanten!$I$4*Konstanten!$D$4))</f>
        <v>2805.3460090881686</v>
      </c>
      <c r="H19" s="151">
        <f>Iteration!L9</f>
        <v>65</v>
      </c>
      <c r="I19" s="147">
        <f>Konstanten!$C$23*(((($K$3+$H19)*Konstanten!$I$23+$K$4)/(Konstanten!$I$23+2))^Konstanten!$D$23*$C19^Konstanten!$E$23*ABS($K$3-$H19)^Konstanten!$F$23+Konstanten!$H$23*($C19*$B19)^Konstanten!$G$23)</f>
        <v>62.035338920193027</v>
      </c>
      <c r="J19" s="219">
        <f>0.0015976*F19^1.7732</f>
        <v>26.783784807593612</v>
      </c>
      <c r="K19" s="428"/>
      <c r="L19" s="149">
        <v>157.51636719277741</v>
      </c>
      <c r="M19" s="150">
        <f>(($K$3+N19)/2-$K$4)^Konstanten!$E$5*$B19*$C19^Konstanten!$F$5*($K$3-N19)^Konstanten!$G$5*(($K$3+N19)/2)^Konstanten!$H$5*(Konstanten!$C$5-(($K$3-N19)^Konstanten!$I$5*Konstanten!$D$5))</f>
        <v>1832.1049534865838</v>
      </c>
      <c r="N19" s="151">
        <f>Iteration!AI9</f>
        <v>65</v>
      </c>
      <c r="O19" s="147">
        <f>Konstanten!$C$24*(((($K$3+$N19)*Konstanten!$I$24+$K$4)/(Konstanten!$I$24+2))^Konstanten!$D$24*$C19^Konstanten!$E$24*ABS($K$3-$N19)^Konstanten!$F$24+Konstanten!$H$24*($C19*$B19)^Konstanten!$G$24)</f>
        <v>46.923378684938868</v>
      </c>
      <c r="P19" s="152">
        <f t="shared" si="5"/>
        <v>2.2518535972274507</v>
      </c>
      <c r="Q19" s="431"/>
      <c r="R19" s="149">
        <v>148.44247970361496</v>
      </c>
      <c r="S19" s="150">
        <f>IF(U19="Spreizung zu hoch","Spreizung zu hoch",IF(U19="Spreizung zu niedrig","Spreizung zu niedrig",Iteration!BN9))</f>
        <v>863.68709899175906</v>
      </c>
      <c r="T19" s="150">
        <f>IF(U19="Spreizung zu hoch","Spreizung zu hoch",IF(U19="Spreizung zu niedrig","Spreizung zu niedrig",Iteration!BM9))</f>
        <v>628.13229109996951</v>
      </c>
      <c r="U19" s="151">
        <f>IF(Iteration!BK9="RLT zu niedrig","Spreizung zu niedrig",IF(Iteration!BK9-Massenstromrechnung!$X$3&gt;8,"Spreizung zu hoch",Iteration!BK9))</f>
        <v>11.993416611465511</v>
      </c>
      <c r="V19" s="147">
        <f>Konstanten!$C$25*(((($X$3+$U19)*Konstanten!$I$25+$X$4)/(Konstanten!$I$25+2))^Konstanten!$D$25*$C19^Konstanten!$E$25*ABS(U19-$X$3)^Konstanten!$F$25+Konstanten!$H$25*($C19*$B19)^Konstanten!$G$25)</f>
        <v>12.640167356991739</v>
      </c>
      <c r="W19" s="153" t="str">
        <f>IF(U19="Spreizung zu hoch","Spreizung zu hoch",IF(U19="Spreizung zu niedrig","Spreizung zu niedrig",Iteration!BL9))</f>
        <v>feucht</v>
      </c>
      <c r="X19" s="152">
        <f t="shared" si="6"/>
        <v>11.325960771344686</v>
      </c>
      <c r="Y19" s="154">
        <f t="shared" si="2"/>
        <v>0.37571878972549511</v>
      </c>
      <c r="Z19" s="428"/>
      <c r="AA19" s="149">
        <v>145.83564410999969</v>
      </c>
      <c r="AB19" s="150">
        <f>IF(AD19="Spreizung zu hoch","Spreizung zu hoch",IF(AD19="Spreizung zu niedrig","Spreizung zu niedrig",Iteration!CS9))</f>
        <v>849.69690409843918</v>
      </c>
      <c r="AC19" s="150">
        <f>IF(AD19="Spreizung zu hoch","Spreizung zu hoch",IF(AD19="Spreizung zu niedrig","Spreizung zu niedrig",Iteration!CR9))</f>
        <v>617.39835938262138</v>
      </c>
      <c r="AD19" s="151">
        <f>IF(Iteration!CP9="RLT zu niedrig","Spreizung zu niedrig",IF(Iteration!CP9-Massenstromrechnung!$X$3&gt;8,"Spreizung zu hoch",Iteration!CP9))</f>
        <v>11.977914200813846</v>
      </c>
      <c r="AE19" s="147">
        <f>Konstanten!$C$26*(((($X$3+$U19)*Konstanten!$I$26+$X$4)/(Konstanten!$I$26+2))^Konstanten!$D$26*$C19^Konstanten!$E$26*ABS(AD19-$X$3)^Konstanten!$F$26+Konstanten!$H$26*($C19*$B19)^Konstanten!$G$26)</f>
        <v>13.334272133732954</v>
      </c>
      <c r="AF19" s="153" t="str">
        <f>IF(AD19="Spreizung zu hoch","Spreizung zu hoch",IF(AD19="Spreizung zu niedrig","Spreizung zu niedrig",Iteration!CQ9))</f>
        <v>feucht</v>
      </c>
      <c r="AG19" s="152">
        <f t="shared" si="7"/>
        <v>5.7702500934717031</v>
      </c>
      <c r="AH19" s="154">
        <f t="shared" si="4"/>
        <v>0.37052492732695796</v>
      </c>
      <c r="AI19" s="428"/>
      <c r="AJ19" s="214">
        <v>205</v>
      </c>
      <c r="AK19" s="194">
        <v>26.021210294068112</v>
      </c>
      <c r="AL19" s="195">
        <v>34.021210294068112</v>
      </c>
      <c r="AM19" s="201">
        <v>4.8</v>
      </c>
      <c r="AN19" s="206">
        <v>50</v>
      </c>
      <c r="AO19" s="106"/>
    </row>
    <row r="20" spans="2:41" x14ac:dyDescent="0.3">
      <c r="B20" s="102">
        <v>710</v>
      </c>
      <c r="C20" s="27">
        <v>495</v>
      </c>
      <c r="D20" s="436"/>
      <c r="E20" s="125">
        <v>40</v>
      </c>
      <c r="F20" s="149">
        <v>158.25847670793064</v>
      </c>
      <c r="G20" s="150">
        <f>(($K$3+H20)/2-$K$4)^Konstanten!$E$4*$B20*$C20^Konstanten!$F$4*($K$3-H20)^Konstanten!$G$4*(($K$3+H20)/2)^Konstanten!$H$4*(Konstanten!$C$4-(($K$3-H20)^Konstanten!$I$4*Konstanten!$D$4))</f>
        <v>1840.7365804277879</v>
      </c>
      <c r="H20" s="151">
        <f>Iteration!L10</f>
        <v>65</v>
      </c>
      <c r="I20" s="147">
        <f>Konstanten!$C$23*(((($K$3+$H20)*Konstanten!$I$23+$K$4)/(Konstanten!$I$23+2))^Konstanten!$D$23*$C20^Konstanten!$E$23*ABS($K$3-$H20)^Konstanten!$F$23+Konstanten!$H$23*($C20*$B20)^Konstanten!$G$23)</f>
        <v>65.009811310108176</v>
      </c>
      <c r="J20" s="219">
        <f>0.0015976*F20^1.7732</f>
        <v>12.687778343722954</v>
      </c>
      <c r="K20" s="428"/>
      <c r="L20" s="149">
        <v>116.15812065784444</v>
      </c>
      <c r="M20" s="150">
        <f>(($K$3+N20)/2-$K$4)^Konstanten!$E$5*$B20*$C20^Konstanten!$F$5*($K$3-N20)^Konstanten!$G$5*(($K$3+N20)/2)^Konstanten!$H$5*(Konstanten!$C$5-(($K$3-N20)^Konstanten!$I$5*Konstanten!$D$5))</f>
        <v>1351.0587632107809</v>
      </c>
      <c r="N20" s="151">
        <f>Iteration!AI10</f>
        <v>65</v>
      </c>
      <c r="O20" s="147">
        <f>Konstanten!$C$24*(((($K$3+$N20)*Konstanten!$I$24+$K$4)/(Konstanten!$I$24+2))^Konstanten!$D$24*$C20^Konstanten!$E$24*ABS($K$3-$N20)^Konstanten!$F$24+Konstanten!$H$24*($C20*$B20)^Konstanten!$G$24)</f>
        <v>52.273592141814028</v>
      </c>
      <c r="P20" s="152">
        <f t="shared" si="5"/>
        <v>1.3381559658006452</v>
      </c>
      <c r="Q20" s="431"/>
      <c r="R20" s="149">
        <v>84.734035233582063</v>
      </c>
      <c r="S20" s="150">
        <f>IF(U20="Spreizung zu hoch","Spreizung zu hoch",IF(U20="Spreizung zu niedrig","Spreizung zu niedrig",Iteration!BN10))</f>
        <v>493.00846264872138</v>
      </c>
      <c r="T20" s="150">
        <f>IF(U20="Spreizung zu hoch","Spreizung zu hoch",IF(U20="Spreizung zu niedrig","Spreizung zu niedrig",Iteration!BM10))</f>
        <v>352.42700896727712</v>
      </c>
      <c r="U20" s="151">
        <f>IF(Iteration!BK10="RLT zu niedrig","Spreizung zu niedrig",IF(Iteration!BK10-Massenstromrechnung!$X$3&gt;8,"Spreizung zu hoch",Iteration!BK10))</f>
        <v>11.99346607005101</v>
      </c>
      <c r="V20" s="147">
        <f>Konstanten!$C$25*(((($X$3+$U20)*Konstanten!$I$25+$X$4)/(Konstanten!$I$25+2))^Konstanten!$D$25*$C20^Konstanten!$E$25*ABS(U20-$X$3)^Konstanten!$F$25+Konstanten!$H$25*($C20*$B20)^Konstanten!$G$25)</f>
        <v>11.997724652721864</v>
      </c>
      <c r="W20" s="153" t="str">
        <f>IF(U20="Spreizung zu hoch","Spreizung zu hoch",IF(U20="Spreizung zu niedrig","Spreizung zu niedrig",Iteration!BL10))</f>
        <v>feucht</v>
      </c>
      <c r="X20" s="152">
        <f t="shared" si="6"/>
        <v>4.190832475494946</v>
      </c>
      <c r="Y20" s="154">
        <f t="shared" si="2"/>
        <v>0.22423271300540512</v>
      </c>
      <c r="Z20" s="428"/>
      <c r="AA20" s="149">
        <v>83.994972045563841</v>
      </c>
      <c r="AB20" s="150">
        <f>IF(AD20="Spreizung zu hoch","Spreizung zu hoch",IF(AD20="Spreizung zu niedrig","Spreizung zu niedrig",Iteration!CS10))</f>
        <v>489.38217449494817</v>
      </c>
      <c r="AC20" s="150">
        <f>IF(AD20="Spreizung zu hoch","Spreizung zu hoch",IF(AD20="Spreizung zu niedrig","Spreizung zu niedrig",Iteration!CR10))</f>
        <v>349.61528091945388</v>
      </c>
      <c r="AD20" s="151">
        <f>IF(Iteration!CP10="RLT zu niedrig","Spreizung zu niedrig",IF(Iteration!CP10-Massenstromrechnung!$X$3&gt;8,"Spreizung zu hoch",Iteration!CP10))</f>
        <v>11.978044881282113</v>
      </c>
      <c r="AE20" s="147">
        <f>Konstanten!$C$26*(((($X$3+$U20)*Konstanten!$I$26+$X$4)/(Konstanten!$I$26+2))^Konstanten!$D$26*$C20^Konstanten!$E$26*ABS(AD20-$X$3)^Konstanten!$F$26+Konstanten!$H$26*($C20*$B20)^Konstanten!$G$26)</f>
        <v>12.533938249587631</v>
      </c>
      <c r="AF20" s="153" t="str">
        <f>IF(AD20="Spreizung zu hoch","Spreizung zu hoch",IF(AD20="Spreizung zu niedrig","Spreizung zu niedrig",Iteration!CQ10))</f>
        <v>feucht</v>
      </c>
      <c r="AG20" s="152">
        <f t="shared" si="7"/>
        <v>2.2112200637678683</v>
      </c>
      <c r="AH20" s="154">
        <f t="shared" si="4"/>
        <v>0.22293345895958327</v>
      </c>
      <c r="AI20" s="428"/>
      <c r="AJ20" s="214">
        <v>125</v>
      </c>
      <c r="AK20" s="194">
        <v>16.793282511180166</v>
      </c>
      <c r="AL20" s="195">
        <v>24.793282511180166</v>
      </c>
      <c r="AM20" s="201">
        <v>3.1</v>
      </c>
      <c r="AN20" s="206">
        <v>37</v>
      </c>
      <c r="AO20" s="106"/>
    </row>
    <row r="21" spans="2:41" x14ac:dyDescent="0.3">
      <c r="B21" s="102">
        <v>710</v>
      </c>
      <c r="C21" s="27">
        <v>315</v>
      </c>
      <c r="D21" s="442"/>
      <c r="E21" s="126">
        <v>20</v>
      </c>
      <c r="F21" s="161">
        <v>97.754755312736023</v>
      </c>
      <c r="G21" s="162">
        <f>(($K$3+H21)/2-$K$4)^Konstanten!$E$4*$B21*$C21^Konstanten!$F$4*($K$3-H21)^Konstanten!$G$4*(($K$3+H21)/2)^Konstanten!$H$4*(Konstanten!$C$4-(($K$3-H21)^Konstanten!$I$4*Konstanten!$D$4))</f>
        <v>1137.0054720481437</v>
      </c>
      <c r="H21" s="163">
        <f>Iteration!L11</f>
        <v>65</v>
      </c>
      <c r="I21" s="222">
        <f>Konstanten!$C$23*(((($K$3+$H21)*Konstanten!$I$23+$K$4)/(Konstanten!$I$23+2))^Konstanten!$D$23*$C21^Konstanten!$E$23*ABS($K$3-$H21)^Konstanten!$F$23+Konstanten!$H$23*($C21*$B21)^Konstanten!$G$23)</f>
        <v>68.611921107525816</v>
      </c>
      <c r="J21" s="220">
        <f>0.0015976*F21^1.7732</f>
        <v>5.3998359224125272</v>
      </c>
      <c r="K21" s="429"/>
      <c r="L21" s="161">
        <v>81.99931895151451</v>
      </c>
      <c r="M21" s="162">
        <f>(($K$3+N21)/2-$K$4)^Konstanten!$E$5*$B21*$C21^Konstanten!$F$5*($K$3-N21)^Konstanten!$G$5*(($K$3+N21)/2)^Konstanten!$H$5*(Konstanten!$C$5-(($K$3-N21)^Konstanten!$I$5*Konstanten!$D$5))</f>
        <v>953.75078229003623</v>
      </c>
      <c r="N21" s="163">
        <f>Iteration!AI11</f>
        <v>65</v>
      </c>
      <c r="O21" s="222">
        <f>Konstanten!$C$24*(((($K$3+$N21)*Konstanten!$I$24+$K$4)/(Konstanten!$I$24+2))^Konstanten!$D$24*$C21^Konstanten!$E$24*ABS($K$3-$N21)^Konstanten!$F$24+Konstanten!$H$24*($C21*$B21)^Konstanten!$G$24)</f>
        <v>59.690640339037088</v>
      </c>
      <c r="P21" s="164">
        <f t="shared" si="5"/>
        <v>0.73802141678138022</v>
      </c>
      <c r="Q21" s="432"/>
      <c r="R21" s="161">
        <v>44.632949618514282</v>
      </c>
      <c r="S21" s="162">
        <f>IF(U21="Spreizung zu hoch","Spreizung zu hoch",IF(U21="Spreizung zu niedrig","Spreizung zu niedrig",Iteration!BN11))</f>
        <v>259.6869503994659</v>
      </c>
      <c r="T21" s="162">
        <f>IF(U21="Spreizung zu hoch","Spreizung zu hoch",IF(U21="Spreizung zu niedrig","Spreizung zu niedrig",Iteration!BM11))</f>
        <v>182.01462320297765</v>
      </c>
      <c r="U21" s="163">
        <f>IF(Iteration!BK11="RLT zu niedrig","Spreizung zu niedrig",IF(Iteration!BK11-Massenstromrechnung!$X$3&gt;8,"Spreizung zu hoch",Iteration!BK11))</f>
        <v>11.993521273838665</v>
      </c>
      <c r="V21" s="222">
        <f>Konstanten!$C$25*(((($X$3+$U21)*Konstanten!$I$25+$X$4)/(Konstanten!$I$25+2))^Konstanten!$D$25*$C21^Konstanten!$E$25*ABS(U21-$X$3)^Konstanten!$F$25+Konstanten!$H$25*($C21*$B21)^Konstanten!$G$25)</f>
        <v>11.30321923915823</v>
      </c>
      <c r="W21" s="165" t="str">
        <f>IF(U21="Spreizung zu hoch","Spreizung zu hoch",IF(U21="Spreizung zu niedrig","Spreizung zu niedrig",Iteration!BL11))</f>
        <v>feucht</v>
      </c>
      <c r="X21" s="164">
        <f t="shared" si="6"/>
        <v>1.3447369600694115</v>
      </c>
      <c r="Y21" s="166">
        <f t="shared" si="2"/>
        <v>0.12389028706573228</v>
      </c>
      <c r="Z21" s="429"/>
      <c r="AA21" s="161">
        <v>44.699057237251736</v>
      </c>
      <c r="AB21" s="162">
        <f>IF(AD21="Spreizung zu hoch","Spreizung zu hoch",IF(AD21="Spreizung zu niedrig","Spreizung zu niedrig",Iteration!CS11))</f>
        <v>260.42764438766147</v>
      </c>
      <c r="AC21" s="162">
        <f>IF(AD21="Spreizung zu hoch","Spreizung zu hoch",IF(AD21="Spreizung zu niedrig","Spreizung zu niedrig",Iteration!CR11))</f>
        <v>182.4773071629819</v>
      </c>
      <c r="AD21" s="157">
        <f>IF(Iteration!CP11="RLT zu niedrig","Spreizung zu niedrig",IF(Iteration!CP11-Massenstromrechnung!$X$3&gt;8,"Spreizung zu hoch",Iteration!CP11))</f>
        <v>11.97819097224523</v>
      </c>
      <c r="AE21" s="223">
        <f>Konstanten!$C$26*(((($X$3+$U21)*Konstanten!$I$26+$X$4)/(Konstanten!$I$26+2))^Konstanten!$D$26*$C21^Konstanten!$E$26*ABS(AD21-$X$3)^Konstanten!$F$26+Konstanten!$H$26*($C21*$B21)^Konstanten!$G$26)</f>
        <v>11.700483962377021</v>
      </c>
      <c r="AF21" s="159" t="str">
        <f>IF(AD21="Spreizung zu hoch","Spreizung zu hoch",IF(AD21="Spreizung zu niedrig","Spreizung zu niedrig",Iteration!CQ11))</f>
        <v>feucht</v>
      </c>
      <c r="AG21" s="164">
        <f t="shared" si="7"/>
        <v>0.7385184110012869</v>
      </c>
      <c r="AH21" s="166">
        <f t="shared" si="4"/>
        <v>0.12433372353072507</v>
      </c>
      <c r="AI21" s="429"/>
      <c r="AJ21" s="215">
        <v>60</v>
      </c>
      <c r="AK21" s="196">
        <v>13.362861084166816</v>
      </c>
      <c r="AL21" s="197">
        <v>21.362861084166816</v>
      </c>
      <c r="AM21" s="202">
        <v>2.6</v>
      </c>
      <c r="AN21" s="208">
        <v>34</v>
      </c>
      <c r="AO21" s="106"/>
    </row>
    <row r="22" spans="2:41" x14ac:dyDescent="0.3">
      <c r="B22" s="102">
        <v>1130</v>
      </c>
      <c r="C22" s="27">
        <v>1205</v>
      </c>
      <c r="D22" s="435">
        <v>1700</v>
      </c>
      <c r="E22" s="192">
        <v>100</v>
      </c>
      <c r="F22" s="143">
        <v>650.17277935874722</v>
      </c>
      <c r="G22" s="144">
        <f>(($K$3+H22)/2-$K$4)^Konstanten!$E$4*$B22*$C22^Konstanten!$F$4*($K$3-H22)^Konstanten!$G$4*(($K$3+H22)/2)^Konstanten!$H$4*(Konstanten!$C$4-(($K$3-H22)^Konstanten!$I$4*Konstanten!$D$4))</f>
        <v>7562.2920393247859</v>
      </c>
      <c r="H22" s="145">
        <f>Iteration!L12</f>
        <v>65</v>
      </c>
      <c r="I22" s="147">
        <f>Konstanten!$C$23*(((($K$3+$H22)*Konstanten!$I$23+$K$4)/(Konstanten!$I$23+2))^Konstanten!$D$23*$C22^Konstanten!$E$23*ABS($K$3-$H22)^Konstanten!$F$23+Konstanten!$H$23*($C22*$B22)^Konstanten!$G$23)</f>
        <v>58.661366332579746</v>
      </c>
      <c r="J22" s="219">
        <f>0.00032601*F22^1.7733</f>
        <v>31.737657034205593</v>
      </c>
      <c r="K22" s="428">
        <f>IF($N$3&gt;180,"max. 180 m³/h",1.2041*$N$3*($N$4-$K$4))</f>
        <v>0</v>
      </c>
      <c r="L22" s="143">
        <v>366.91518059464147</v>
      </c>
      <c r="M22" s="144">
        <f>(($K$3+N22)/2-$K$4)^Konstanten!$E$5*$B22*$C22^Konstanten!$F$5*($K$3-N22)^Konstanten!$G$5*(($K$3+N22)/2)^Konstanten!$H$5*(Konstanten!$C$5-(($K$3-N22)^Konstanten!$I$5*Konstanten!$D$5))</f>
        <v>4267.6652074775038</v>
      </c>
      <c r="N22" s="145">
        <f>Iteration!AI12</f>
        <v>65</v>
      </c>
      <c r="O22" s="147">
        <f>Konstanten!$C$24*(((($K$3+$N22)*Konstanten!$I$24+$K$4)/(Konstanten!$I$24+2))^Konstanten!$D$24*$C22^Konstanten!$E$24*ABS($K$3-$N22)^Konstanten!$F$24+Konstanten!$H$24*($C22*$B22)^Konstanten!$G$24)</f>
        <v>42.445216948599601</v>
      </c>
      <c r="P22" s="146">
        <f xml:space="preserve"> 0.00054927*L22^1.7275</f>
        <v>14.793573451154858</v>
      </c>
      <c r="Q22" s="433">
        <f>IF($N$3&gt;180,"max. 180 m³/h",1.2041*$N$3*($N$4-$K$4))</f>
        <v>0</v>
      </c>
      <c r="R22" s="143">
        <v>469.77816278979054</v>
      </c>
      <c r="S22" s="144">
        <f>IF(U22="Spreizung zu hoch","Spreizung zu hoch",IF(U22="Spreizung zu niedrig","Spreizung zu niedrig",Iteration!BN12))</f>
        <v>2733.3470625586547</v>
      </c>
      <c r="T22" s="144">
        <f>IF(U22="Spreizung zu hoch","Spreizung zu hoch",IF(U22="Spreizung zu niedrig","Spreizung zu niedrig",Iteration!BM12))</f>
        <v>2059.4031779416669</v>
      </c>
      <c r="U22" s="145">
        <f>IF(Iteration!BK12="RLT zu niedrig","Spreizung zu niedrig",IF(Iteration!BK12-Massenstromrechnung!$X$3&gt;8,"Spreizung zu hoch",Iteration!BK12))</f>
        <v>11.993311418854081</v>
      </c>
      <c r="V22" s="147">
        <f>Konstanten!$C$25*(((($X$3+$U22)*Konstanten!$I$25+$X$4)/(Konstanten!$I$25+2))^Konstanten!$D$25*$C22^Konstanten!$E$25*ABS(U22-$X$3)^Konstanten!$F$25+Konstanten!$H$25*($C22*$B22)^Konstanten!$G$25)</f>
        <v>13.491783302891255</v>
      </c>
      <c r="W22" s="147" t="str">
        <f>IF(U22="Spreizung zu hoch","Spreizung zu hoch",IF(U22="Spreizung zu niedrig","Spreizung zu niedrig",Iteration!BL12))</f>
        <v>feucht</v>
      </c>
      <c r="X22" s="146">
        <f>IF(U22="Spreizung zu hoch","Spreizung zu hoch",IF(U22="Spreizung zu niedrig","Spreizung zu niedrig",0.00032601*R22^1.7733))</f>
        <v>17.83604127022117</v>
      </c>
      <c r="Y22" s="148">
        <f t="shared" si="2"/>
        <v>1.0749658771028605</v>
      </c>
      <c r="Z22" s="428">
        <f>IF($AA$3&gt;180,"max. 180m³/h",1.2041*$AA$3*($X$4-$AA$4))</f>
        <v>0</v>
      </c>
      <c r="AA22" s="143">
        <v>456.38697710183976</v>
      </c>
      <c r="AB22" s="144">
        <f>IF(AD22="Spreizung zu hoch","Spreizung zu hoch",IF(AD22="Spreizung zu niedrig","Spreizung zu niedrig",Iteration!CS12))</f>
        <v>2659.1653889391146</v>
      </c>
      <c r="AC22" s="144">
        <f>IF(AD22="Spreizung zu hoch","Spreizung zu hoch",IF(AD22="Spreizung zu niedrig","Spreizung zu niedrig",Iteration!CR12))</f>
        <v>2000.9997212690405</v>
      </c>
      <c r="AD22" s="169">
        <f>IF(Iteration!CP12="RLT zu niedrig","Spreizung zu niedrig",IF(Iteration!CP12-Massenstromrechnung!$X$3&gt;8,"Spreizung zu hoch",Iteration!CP12))</f>
        <v>11.977635095872378</v>
      </c>
      <c r="AE22" s="171">
        <f>Konstanten!$C$26*(((($X$3+$U22)*Konstanten!$I$26+$X$4)/(Konstanten!$I$26+2))^Konstanten!$D$26*$C22^Konstanten!$E$26*ABS(AD22-$X$3)^Konstanten!$F$26+Konstanten!$H$26*($C22*$B22)^Konstanten!$G$26)</f>
        <v>14.38764193736146</v>
      </c>
      <c r="AF22" s="171" t="str">
        <f>IF(AD22="Spreizung zu hoch","Spreizung zu hoch",IF(AD22="Spreizung zu niedrig","Spreizung zu niedrig",Iteration!CQ12))</f>
        <v>feucht</v>
      </c>
      <c r="AG22" s="146">
        <f>IF(AD22="Spreizung zu hoch","Spreizung zu hoch",IF(AD22="Spreizung zu niedrig","Spreizung zu niedrig",0.00099843*AA22^1.7385))</f>
        <v>41.934209982205793</v>
      </c>
      <c r="AH22" s="148">
        <f t="shared" si="4"/>
        <v>1.0497990268552355</v>
      </c>
      <c r="AI22" s="427">
        <f>IF($AA$3&gt;180,"max. 180m³/h",1.2041*$AA$3*($X$4-$AA$4))</f>
        <v>0</v>
      </c>
      <c r="AJ22" s="214">
        <v>585</v>
      </c>
      <c r="AK22" s="194">
        <v>43.815405658279268</v>
      </c>
      <c r="AL22" s="195">
        <v>51.815405658279268</v>
      </c>
      <c r="AM22" s="204">
        <v>24.4</v>
      </c>
      <c r="AN22" s="209">
        <v>218</v>
      </c>
      <c r="AO22" s="106"/>
    </row>
    <row r="23" spans="2:41" x14ac:dyDescent="0.3">
      <c r="B23" s="102">
        <v>1130</v>
      </c>
      <c r="C23" s="27">
        <v>985</v>
      </c>
      <c r="D23" s="436"/>
      <c r="E23" s="125">
        <v>80</v>
      </c>
      <c r="F23" s="149">
        <v>524.45590626555588</v>
      </c>
      <c r="G23" s="150">
        <f>(($K$3+H23)/2-$K$4)^Konstanten!$E$4*$B23*$C23^Konstanten!$F$4*($K$3-H23)^Konstanten!$G$4*(($K$3+H23)/2)^Konstanten!$H$4*(Konstanten!$C$4-(($K$3-H23)^Konstanten!$I$4*Konstanten!$D$4))</f>
        <v>6100.0534793852103</v>
      </c>
      <c r="H23" s="151">
        <f>Iteration!L13</f>
        <v>65</v>
      </c>
      <c r="I23" s="147">
        <f>Konstanten!$C$23*(((($K$3+$H23)*Konstanten!$I$23+$K$4)/(Konstanten!$I$23+2))^Konstanten!$D$23*$C23^Konstanten!$E$23*ABS($K$3-$H23)^Konstanten!$F$23+Konstanten!$H$23*($C23*$B23)^Konstanten!$G$23)</f>
        <v>60.058532229353823</v>
      </c>
      <c r="J23" s="219">
        <f>0.00032601*F23^1.7733</f>
        <v>21.681576499152509</v>
      </c>
      <c r="K23" s="428"/>
      <c r="L23" s="149">
        <v>314.13065174844274</v>
      </c>
      <c r="M23" s="150">
        <f>(($K$3+N23)/2-$K$4)^Konstanten!$E$5*$B23*$C23^Konstanten!$F$5*($K$3-N23)^Konstanten!$G$5*(($K$3+N23)/2)^Konstanten!$H$5*(Konstanten!$C$5-(($K$3-N23)^Konstanten!$I$5*Konstanten!$D$5))</f>
        <v>3653.7176000633426</v>
      </c>
      <c r="N23" s="151">
        <f>Iteration!AI13</f>
        <v>65</v>
      </c>
      <c r="O23" s="147">
        <f>Konstanten!$C$24*(((($K$3+$N23)*Konstanten!$I$24+$K$4)/(Konstanten!$I$24+2))^Konstanten!$D$24*$C23^Konstanten!$E$24*ABS($K$3-$N23)^Konstanten!$F$24+Konstanten!$H$24*($C23*$B23)^Konstanten!$G$24)</f>
        <v>44.468744740600904</v>
      </c>
      <c r="P23" s="152">
        <f t="shared" ref="P23:P26" si="8" xml:space="preserve"> 0.00054927*L23^1.7275</f>
        <v>11.312118585359354</v>
      </c>
      <c r="Q23" s="431"/>
      <c r="R23" s="149">
        <v>352.9485237423977</v>
      </c>
      <c r="S23" s="150">
        <f>IF(U23="Spreizung zu hoch","Spreizung zu hoch",IF(U23="Spreizung zu niedrig","Spreizung zu niedrig",Iteration!BN13))</f>
        <v>2053.5835786816624</v>
      </c>
      <c r="T23" s="150">
        <f>IF(U23="Spreizung zu hoch","Spreizung zu hoch",IF(U23="Spreizung zu niedrig","Spreizung zu niedrig",Iteration!BM13))</f>
        <v>1533.7370418735256</v>
      </c>
      <c r="U23" s="151">
        <f>IF(Iteration!BK13="RLT zu niedrig","Spreizung zu niedrig",IF(Iteration!BK13-Massenstromrechnung!$X$3&gt;8,"Spreizung zu hoch",Iteration!BK13))</f>
        <v>11.993337984788926</v>
      </c>
      <c r="V23" s="147">
        <f>Konstanten!$C$25*(((($X$3+$U23)*Konstanten!$I$25+$X$4)/(Konstanten!$I$25+2))^Konstanten!$D$25*$C23^Konstanten!$E$25*ABS(U23-$X$3)^Konstanten!$F$25+Konstanten!$H$25*($C23*$B23)^Konstanten!$G$25)</f>
        <v>13.137513717240489</v>
      </c>
      <c r="W23" s="153" t="str">
        <f>IF(U23="Spreizung zu hoch","Spreizung zu hoch",IF(U23="Spreizung zu niedrig","Spreizung zu niedrig",Iteration!BL13))</f>
        <v>feucht</v>
      </c>
      <c r="X23" s="152">
        <f t="shared" ref="X23:X26" si="9">IF(U23="Spreizung zu hoch","Spreizung zu hoch",IF(U23="Spreizung zu niedrig","Spreizung zu niedrig",0.00032601*R23^1.7733))</f>
        <v>10.742058019443816</v>
      </c>
      <c r="Y23" s="154">
        <f t="shared" si="2"/>
        <v>0.82917480394740473</v>
      </c>
      <c r="Z23" s="428"/>
      <c r="AA23" s="149">
        <v>344.45750774353672</v>
      </c>
      <c r="AB23" s="150">
        <f>IF(AD23="Spreizung zu hoch","Spreizung zu hoch",IF(AD23="Spreizung zu niedrig","Spreizung zu niedrig",Iteration!CS13))</f>
        <v>2006.9881676491386</v>
      </c>
      <c r="AC23" s="150">
        <f>IF(AD23="Spreizung zu hoch","Spreizung zu hoch",IF(AD23="Spreizung zu niedrig","Spreizung zu niedrig",Iteration!CR13))</f>
        <v>1497.269008749118</v>
      </c>
      <c r="AD23" s="151">
        <f>IF(Iteration!CP13="RLT zu niedrig","Spreizung zu niedrig",IF(Iteration!CP13-Massenstromrechnung!$X$3&gt;8,"Spreizung zu hoch",Iteration!CP13))</f>
        <v>11.977705066173794</v>
      </c>
      <c r="AE23" s="147">
        <f>Konstanten!$C$26*(((($X$3+$U23)*Konstanten!$I$26+$X$4)/(Konstanten!$I$26+2))^Konstanten!$D$26*$C23^Konstanten!$E$26*ABS(AD23-$X$3)^Konstanten!$F$26+Konstanten!$H$26*($C23*$B23)^Konstanten!$G$26)</f>
        <v>13.92233195376976</v>
      </c>
      <c r="AF23" s="153" t="str">
        <f>IF(AD23="Spreizung zu hoch","Spreizung zu hoch",IF(AD23="Spreizung zu niedrig","Spreizung zu niedrig",Iteration!CQ13))</f>
        <v>feucht</v>
      </c>
      <c r="AG23" s="152">
        <f t="shared" ref="AG23:AG26" si="10">IF(AD23="Spreizung zu hoch","Spreizung zu hoch",IF(AD23="Spreizung zu niedrig","Spreizung zu niedrig",0.00099843*AA23^1.7385))</f>
        <v>25.711532213275369</v>
      </c>
      <c r="AH23" s="154">
        <f t="shared" si="4"/>
        <v>0.81302125478071519</v>
      </c>
      <c r="AI23" s="428"/>
      <c r="AJ23" s="214">
        <v>465</v>
      </c>
      <c r="AK23" s="194">
        <v>37.405894977112773</v>
      </c>
      <c r="AL23" s="195">
        <v>45.405894977112773</v>
      </c>
      <c r="AM23" s="201">
        <v>13.4</v>
      </c>
      <c r="AN23" s="206">
        <v>127</v>
      </c>
      <c r="AO23" s="106"/>
    </row>
    <row r="24" spans="2:41" x14ac:dyDescent="0.3">
      <c r="B24" s="102">
        <v>1130</v>
      </c>
      <c r="C24" s="27">
        <v>735</v>
      </c>
      <c r="D24" s="436"/>
      <c r="E24" s="125">
        <v>60</v>
      </c>
      <c r="F24" s="149">
        <v>383.86796232850463</v>
      </c>
      <c r="G24" s="150">
        <f>(($K$3+H24)/2-$K$4)^Konstanten!$E$4*$B24*$C24^Konstanten!$F$4*($K$3-H24)^Konstanten!$G$4*(($K$3+H24)/2)^Konstanten!$H$4*(Konstanten!$C$4-(($K$3-H24)^Konstanten!$I$4*Konstanten!$D$4))</f>
        <v>4464.8464651684935</v>
      </c>
      <c r="H24" s="151">
        <f>Iteration!L14</f>
        <v>65</v>
      </c>
      <c r="I24" s="147">
        <f>Konstanten!$C$23*(((($K$3+$H24)*Konstanten!$I$23+$K$4)/(Konstanten!$I$23+2))^Konstanten!$D$23*$C24^Konstanten!$E$23*ABS($K$3-$H24)^Konstanten!$F$23+Konstanten!$H$23*($C24*$B24)^Konstanten!$G$23)</f>
        <v>62.157568645989947</v>
      </c>
      <c r="J24" s="219">
        <f>0.00032601*F24^1.7733</f>
        <v>12.466961754104924</v>
      </c>
      <c r="K24" s="428"/>
      <c r="L24" s="149">
        <v>250.6950632786457</v>
      </c>
      <c r="M24" s="150">
        <f>(($K$3+N24)/2-$K$4)^Konstanten!$E$5*$B24*$C24^Konstanten!$F$5*($K$3-N24)^Konstanten!$G$5*(($K$3+N24)/2)^Konstanten!$H$5*(Konstanten!$C$5-(($K$3-N24)^Konstanten!$I$5*Konstanten!$D$5))</f>
        <v>2915.8853485068162</v>
      </c>
      <c r="N24" s="151">
        <f>Iteration!AI14</f>
        <v>65</v>
      </c>
      <c r="O24" s="147">
        <f>Konstanten!$C$24*(((($K$3+$N24)*Konstanten!$I$24+$K$4)/(Konstanten!$I$24+2))^Konstanten!$D$24*$C24^Konstanten!$E$24*ABS($K$3-$N24)^Konstanten!$F$24+Konstanten!$H$24*($C24*$B24)^Konstanten!$G$24)</f>
        <v>47.792977657728137</v>
      </c>
      <c r="P24" s="152">
        <f t="shared" si="8"/>
        <v>7.6614366969874208</v>
      </c>
      <c r="Q24" s="431"/>
      <c r="R24" s="149">
        <v>233.00584779190598</v>
      </c>
      <c r="S24" s="150">
        <f>IF(U24="Spreizung zu hoch","Spreizung zu hoch",IF(U24="Spreizung zu niedrig","Spreizung zu niedrig",Iteration!BN14))</f>
        <v>1355.7090267659473</v>
      </c>
      <c r="T24" s="150">
        <f>IF(U24="Spreizung zu hoch","Spreizung zu hoch",IF(U24="Spreizung zu niedrig","Spreizung zu niedrig",Iteration!BM14))</f>
        <v>999.70542718805041</v>
      </c>
      <c r="U24" s="151">
        <f>IF(Iteration!BK14="RLT zu niedrig","Spreizung zu niedrig",IF(Iteration!BK14-Massenstromrechnung!$X$3&gt;8,"Spreizung zu hoch",Iteration!BK14))</f>
        <v>11.99337602407908</v>
      </c>
      <c r="V24" s="147">
        <f>Konstanten!$C$25*(((($X$3+$U24)*Konstanten!$I$25+$X$4)/(Konstanten!$I$25+2))^Konstanten!$D$25*$C24^Konstanten!$E$25*ABS(U24-$X$3)^Konstanten!$F$25+Konstanten!$H$25*($C24*$B24)^Konstanten!$G$25)</f>
        <v>12.639551371198618</v>
      </c>
      <c r="W24" s="153" t="str">
        <f>IF(U24="Spreizung zu hoch","Spreizung zu hoch",IF(U24="Spreizung zu niedrig","Spreizung zu niedrig",Iteration!BL14))</f>
        <v>feucht</v>
      </c>
      <c r="X24" s="152">
        <f t="shared" si="9"/>
        <v>5.143781415281337</v>
      </c>
      <c r="Y24" s="154">
        <f t="shared" si="2"/>
        <v>0.56783914863997742</v>
      </c>
      <c r="Z24" s="428"/>
      <c r="AA24" s="149">
        <v>228.91390169190592</v>
      </c>
      <c r="AB24" s="150">
        <f>IF(AD24="Spreizung zu hoch","Spreizung zu hoch",IF(AD24="Spreizung zu niedrig","Spreizung zu niedrig",Iteration!CS14))</f>
        <v>1333.7581947580227</v>
      </c>
      <c r="AC24" s="150">
        <f>IF(AD24="Spreizung zu hoch","Spreizung zu hoch",IF(AD24="Spreizung zu niedrig","Spreizung zu niedrig",Iteration!CR14))</f>
        <v>982.62640489473279</v>
      </c>
      <c r="AD24" s="151">
        <f>IF(Iteration!CP14="RLT zu niedrig","Spreizung zu niedrig",IF(Iteration!CP14-Massenstromrechnung!$X$3&gt;8,"Spreizung zu hoch",Iteration!CP14))</f>
        <v>11.977805350400697</v>
      </c>
      <c r="AE24" s="147">
        <f>Konstanten!$C$26*(((($X$3+$U24)*Konstanten!$I$26+$X$4)/(Konstanten!$I$26+2))^Konstanten!$D$26*$C24^Konstanten!$E$26*ABS(AD24-$X$3)^Konstanten!$F$26+Konstanten!$H$26*($C24*$B24)^Konstanten!$G$26)</f>
        <v>13.278761892594016</v>
      </c>
      <c r="AF24" s="153" t="str">
        <f>IF(AD24="Spreizung zu hoch","Spreizung zu hoch",IF(AD24="Spreizung zu niedrig","Spreizung zu niedrig",Iteration!CQ14))</f>
        <v>feucht</v>
      </c>
      <c r="AG24" s="152">
        <f t="shared" si="10"/>
        <v>12.635943792937635</v>
      </c>
      <c r="AH24" s="154">
        <f t="shared" si="4"/>
        <v>0.56006842866984652</v>
      </c>
      <c r="AI24" s="428"/>
      <c r="AJ24" s="214">
        <v>325</v>
      </c>
      <c r="AK24" s="194">
        <v>28.28086345218</v>
      </c>
      <c r="AL24" s="195">
        <v>36.28086345218</v>
      </c>
      <c r="AM24" s="201">
        <v>7.3</v>
      </c>
      <c r="AN24" s="206">
        <v>76</v>
      </c>
      <c r="AO24" s="106"/>
    </row>
    <row r="25" spans="2:41" x14ac:dyDescent="0.3">
      <c r="B25" s="102">
        <v>1130</v>
      </c>
      <c r="C25" s="27">
        <v>495</v>
      </c>
      <c r="D25" s="436"/>
      <c r="E25" s="125">
        <v>40</v>
      </c>
      <c r="F25" s="149">
        <v>251.8761671548755</v>
      </c>
      <c r="G25" s="150">
        <f>(($K$3+H25)/2-$K$4)^Konstanten!$E$4*$B25*$C25^Konstanten!$F$4*($K$3-H25)^Konstanten!$G$4*(($K$3+H25)/2)^Konstanten!$H$4*(Konstanten!$C$4-(($K$3-H25)^Konstanten!$I$4*Konstanten!$D$4))</f>
        <v>2929.6230082864786</v>
      </c>
      <c r="H25" s="151">
        <f>Iteration!L15</f>
        <v>65</v>
      </c>
      <c r="I25" s="147">
        <f>Konstanten!$C$23*(((($K$3+$H25)*Konstanten!$I$23+$K$4)/(Konstanten!$I$23+2))^Konstanten!$D$23*$C25^Konstanten!$E$23*ABS($K$3-$H25)^Konstanten!$F$23+Konstanten!$H$23*($C25*$B25)^Konstanten!$G$23)</f>
        <v>65.128184892043777</v>
      </c>
      <c r="J25" s="219">
        <f>0.00032601*F25^1.7733</f>
        <v>5.905490341456896</v>
      </c>
      <c r="K25" s="428"/>
      <c r="L25" s="149">
        <v>184.87137513149892</v>
      </c>
      <c r="M25" s="150">
        <f>(($K$3+N25)/2-$K$4)^Konstanten!$E$5*$B25*$C25^Konstanten!$F$5*($K$3-N25)^Konstanten!$G$5*(($K$3+N25)/2)^Konstanten!$H$5*(Konstanten!$C$5-(($K$3-N25)^Konstanten!$I$5*Konstanten!$D$5))</f>
        <v>2150.2766231382852</v>
      </c>
      <c r="N25" s="151">
        <f>Iteration!AI15</f>
        <v>65</v>
      </c>
      <c r="O25" s="147">
        <f>Konstanten!$C$24*(((($K$3+$N25)*Konstanten!$I$24+$K$4)/(Konstanten!$I$24+2))^Konstanten!$D$24*$C25^Konstanten!$E$24*ABS($K$3-$N25)^Konstanten!$F$24+Konstanten!$H$24*($C25*$B25)^Konstanten!$G$24)</f>
        <v>53.087706068345241</v>
      </c>
      <c r="P25" s="152">
        <f t="shared" si="8"/>
        <v>4.5269243517602629</v>
      </c>
      <c r="Q25" s="431"/>
      <c r="R25" s="149">
        <v>133.00323997013402</v>
      </c>
      <c r="S25" s="150">
        <f>IF(U25="Spreizung zu hoch","Spreizung zu hoch",IF(U25="Spreizung zu niedrig","Spreizung zu niedrig",Iteration!BN15))</f>
        <v>773.8559160964885</v>
      </c>
      <c r="T25" s="150">
        <f>IF(U25="Spreizung zu hoch","Spreizung zu hoch",IF(U25="Spreizung zu niedrig","Spreizung zu niedrig",Iteration!BM15))</f>
        <v>560.90601208348687</v>
      </c>
      <c r="U25" s="151">
        <f>IF(Iteration!BK15="RLT zu niedrig","Spreizung zu niedrig",IF(Iteration!BK15-Massenstromrechnung!$X$3&gt;8,"Spreizung zu hoch",Iteration!BK15))</f>
        <v>11.993426387047904</v>
      </c>
      <c r="V25" s="147">
        <f>Konstanten!$C$25*(((($X$3+$U25)*Konstanten!$I$25+$X$4)/(Konstanten!$I$25+2))^Konstanten!$D$25*$C25^Konstanten!$E$25*ABS(U25-$X$3)^Konstanten!$F$25+Konstanten!$H$25*($C25*$B25)^Konstanten!$G$25)</f>
        <v>11.997073010126213</v>
      </c>
      <c r="W25" s="153" t="str">
        <f>IF(U25="Spreizung zu hoch","Spreizung zu hoch",IF(U25="Spreizung zu niedrig","Spreizung zu niedrig",Iteration!BL15))</f>
        <v>feucht</v>
      </c>
      <c r="X25" s="152">
        <f t="shared" si="9"/>
        <v>1.9031621744875591</v>
      </c>
      <c r="Y25" s="154">
        <f t="shared" si="2"/>
        <v>0.33966311672432692</v>
      </c>
      <c r="Z25" s="428"/>
      <c r="AA25" s="149">
        <v>131.84314523854911</v>
      </c>
      <c r="AB25" s="150">
        <f>IF(AD25="Spreizung zu hoch","Spreizung zu hoch",IF(AD25="Spreizung zu niedrig","Spreizung zu niedrig",Iteration!CS15))</f>
        <v>768.16920536737405</v>
      </c>
      <c r="AC25" s="150">
        <f>IF(AD25="Spreizung zu hoch","Spreizung zu hoch",IF(AD25="Spreizung zu niedrig","Spreizung zu niedrig",Iteration!CR15))</f>
        <v>556.43354756809265</v>
      </c>
      <c r="AD25" s="151">
        <f>IF(Iteration!CP15="RLT zu niedrig","Spreizung zu niedrig",IF(Iteration!CP15-Massenstromrechnung!$X$3&gt;8,"Spreizung zu hoch",Iteration!CP15))</f>
        <v>11.97793829765283</v>
      </c>
      <c r="AE25" s="147">
        <f>Konstanten!$C$26*(((($X$3+$U25)*Konstanten!$I$26+$X$4)/(Konstanten!$I$26+2))^Konstanten!$D$26*$C25^Konstanten!$E$26*ABS(AD25-$X$3)^Konstanten!$F$26+Konstanten!$H$26*($C25*$B25)^Konstanten!$G$26)</f>
        <v>12.468314496934365</v>
      </c>
      <c r="AF25" s="153" t="str">
        <f>IF(AD25="Spreizung zu hoch","Spreizung zu hoch",IF(AD25="Spreizung zu niedrig","Spreizung zu niedrig",Iteration!CQ15))</f>
        <v>feucht</v>
      </c>
      <c r="AG25" s="152">
        <f t="shared" si="10"/>
        <v>4.8421437818406226</v>
      </c>
      <c r="AH25" s="154">
        <f t="shared" si="4"/>
        <v>0.33772634828418829</v>
      </c>
      <c r="AI25" s="428"/>
      <c r="AJ25" s="214">
        <v>195</v>
      </c>
      <c r="AK25" s="194">
        <v>19.052935669292051</v>
      </c>
      <c r="AL25" s="195">
        <v>27.052935669292051</v>
      </c>
      <c r="AM25" s="201">
        <v>4.8</v>
      </c>
      <c r="AN25" s="206">
        <v>56</v>
      </c>
      <c r="AO25" s="106"/>
    </row>
    <row r="26" spans="2:41" x14ac:dyDescent="0.3">
      <c r="B26" s="102">
        <v>1130</v>
      </c>
      <c r="C26" s="27">
        <v>315</v>
      </c>
      <c r="D26" s="442"/>
      <c r="E26" s="126">
        <v>20</v>
      </c>
      <c r="F26" s="155">
        <v>155.58151197660803</v>
      </c>
      <c r="G26" s="156">
        <f>(($K$3+H26)/2-$K$4)^Konstanten!$E$4*$B26*$C26^Konstanten!$F$4*($K$3-H26)^Konstanten!$G$4*(($K$3+H26)/2)^Konstanten!$H$4*(Konstanten!$C$4-(($K$3-H26)^Konstanten!$I$4*Konstanten!$D$4))</f>
        <v>1809.600258330144</v>
      </c>
      <c r="H26" s="157">
        <f>Iteration!L16</f>
        <v>65</v>
      </c>
      <c r="I26" s="223">
        <f>Konstanten!$C$23*(((($K$3+$H26)*Konstanten!$I$23+$K$4)/(Konstanten!$I$23+2))^Konstanten!$D$23*$C26^Konstanten!$E$23*ABS($K$3-$H26)^Konstanten!$F$23+Konstanten!$H$23*($C26*$B26)^Konstanten!$G$23)</f>
        <v>68.726034564986648</v>
      </c>
      <c r="J26" s="220">
        <f>0.00032601*F26^1.7733</f>
        <v>2.5132171893780884</v>
      </c>
      <c r="K26" s="428"/>
      <c r="L26" s="155">
        <v>130.50595833128367</v>
      </c>
      <c r="M26" s="156">
        <f>(($K$3+N26)/2-$K$4)^Konstanten!$E$5*$B26*$C26^Konstanten!$F$5*($K$3-N26)^Konstanten!$G$5*(($K$3+N26)/2)^Konstanten!$H$5*(Konstanten!$C$5-(($K$3-N26)^Konstanten!$I$5*Konstanten!$D$5))</f>
        <v>1517.9413858982268</v>
      </c>
      <c r="N26" s="157">
        <f>Iteration!AI16</f>
        <v>65</v>
      </c>
      <c r="O26" s="223">
        <f>Konstanten!$C$24*(((($K$3+$N26)*Konstanten!$I$24+$K$4)/(Konstanten!$I$24+2))^Konstanten!$D$24*$C26^Konstanten!$E$24*ABS($K$3-$N26)^Konstanten!$F$24+Konstanten!$H$24*($C26*$B26)^Konstanten!$G$24)</f>
        <v>60.445639341656602</v>
      </c>
      <c r="P26" s="158">
        <f t="shared" si="8"/>
        <v>2.4804889228489815</v>
      </c>
      <c r="Q26" s="432"/>
      <c r="R26" s="155">
        <v>70.057575368833369</v>
      </c>
      <c r="S26" s="156">
        <f>IF(U26="Spreizung zu hoch","Spreizung zu hoch",IF(U26="Spreizung zu niedrig","Spreizung zu niedrig",Iteration!BN16))</f>
        <v>407.61579507214816</v>
      </c>
      <c r="T26" s="156">
        <f>IF(U26="Spreizung zu hoch","Spreizung zu hoch",IF(U26="Spreizung zu niedrig","Spreizung zu niedrig",Iteration!BM16))</f>
        <v>289.68577600082364</v>
      </c>
      <c r="U26" s="157">
        <f>IF(Iteration!BK16="RLT zu niedrig","Spreizung zu niedrig",IF(Iteration!BK16-Massenstromrechnung!$X$3&gt;8,"Spreizung zu hoch",Iteration!BK16))</f>
        <v>11.993482597084716</v>
      </c>
      <c r="V26" s="223">
        <f>Konstanten!$C$25*(((($X$3+$U26)*Konstanten!$I$25+$X$4)/(Konstanten!$I$25+2))^Konstanten!$D$25*$C26^Konstanten!$E$25*ABS(U26-$X$3)^Konstanten!$F$25+Konstanten!$H$25*($C26*$B26)^Konstanten!$G$25)</f>
        <v>11.302522555125766</v>
      </c>
      <c r="W26" s="159" t="str">
        <f>IF(U26="Spreizung zu hoch","Spreizung zu hoch",IF(U26="Spreizung zu niedrig","Spreizung zu niedrig",Iteration!BL16))</f>
        <v>feucht</v>
      </c>
      <c r="X26" s="158">
        <f t="shared" si="9"/>
        <v>0.61062763532895481</v>
      </c>
      <c r="Y26" s="160">
        <f t="shared" si="2"/>
        <v>0.18810282173538692</v>
      </c>
      <c r="Z26" s="428"/>
      <c r="AA26" s="155">
        <v>70.161342181656963</v>
      </c>
      <c r="AB26" s="156">
        <f>IF(AD26="Spreizung zu hoch","Spreizung zu hoch",IF(AD26="Spreizung zu niedrig","Spreizung zu niedrig",Iteration!CS16))</f>
        <v>408.78126039224571</v>
      </c>
      <c r="AC26" s="156">
        <f>IF(AD26="Spreizung zu hoch","Spreizung zu hoch",IF(AD26="Spreizung zu niedrig","Spreizung zu niedrig",Iteration!CR16))</f>
        <v>290.42346074839418</v>
      </c>
      <c r="AD26" s="163">
        <f>IF(Iteration!CP16="RLT zu niedrig","Spreizung zu niedrig",IF(Iteration!CP16-Massenstromrechnung!$X$3&gt;8,"Spreizung zu hoch",Iteration!CP16))</f>
        <v>11.978086916397315</v>
      </c>
      <c r="AE26" s="222">
        <f>Konstanten!$C$26*(((($X$3+$U26)*Konstanten!$I$26+$X$4)/(Konstanten!$I$26+2))^Konstanten!$D$26*$C26^Konstanten!$E$26*ABS(AD26-$X$3)^Konstanten!$F$26+Konstanten!$H$26*($C26*$B26)^Konstanten!$G$26)</f>
        <v>11.621011350529058</v>
      </c>
      <c r="AF26" s="165" t="str">
        <f>IF(AD26="Spreizung zu hoch","Spreizung zu hoch",IF(AD26="Spreizung zu niedrig","Spreizung zu niedrig",Iteration!CQ16))</f>
        <v>feucht</v>
      </c>
      <c r="AG26" s="158">
        <f t="shared" si="10"/>
        <v>1.6171816356738935</v>
      </c>
      <c r="AH26" s="160">
        <f t="shared" si="4"/>
        <v>0.18878514785904543</v>
      </c>
      <c r="AI26" s="429"/>
      <c r="AJ26" s="215">
        <v>100</v>
      </c>
      <c r="AK26" s="196">
        <v>15.622514242278697</v>
      </c>
      <c r="AL26" s="197">
        <v>23.622514242278697</v>
      </c>
      <c r="AM26" s="203">
        <v>3.9</v>
      </c>
      <c r="AN26" s="207">
        <v>51</v>
      </c>
      <c r="AO26" s="106"/>
    </row>
    <row r="27" spans="2:41" x14ac:dyDescent="0.3">
      <c r="B27" s="102">
        <v>1480</v>
      </c>
      <c r="C27" s="27">
        <v>1205</v>
      </c>
      <c r="D27" s="435">
        <v>2000</v>
      </c>
      <c r="E27" s="192">
        <v>100</v>
      </c>
      <c r="F27" s="167">
        <v>851.55372871765121</v>
      </c>
      <c r="G27" s="168">
        <f>(($K$3+H27)/2-$K$4)^Konstanten!$E$4*$B27*$C27^Konstanten!$F$4*($K$3-H27)^Konstanten!$G$4*(($K$3+H27)/2)^Konstanten!$H$4*(Konstanten!$C$4-(($K$3-H27)^Konstanten!$I$4*Konstanten!$D$4))</f>
        <v>9904.5948833634375</v>
      </c>
      <c r="H27" s="169">
        <f>Iteration!L17</f>
        <v>65</v>
      </c>
      <c r="I27" s="171">
        <f>Konstanten!$C$23*(((($K$3+$H27)*Konstanten!$I$23+$K$4)/(Konstanten!$I$23+2))^Konstanten!$D$23*$C27^Konstanten!$E$23*ABS($K$3-$H27)^Konstanten!$F$23+Konstanten!$H$23*($C27*$B27)^Konstanten!$G$23)</f>
        <v>58.737470030026898</v>
      </c>
      <c r="J27" s="219">
        <f>0.0003326*F27^1.8063</f>
        <v>65.27761517785882</v>
      </c>
      <c r="K27" s="427">
        <f>IF($N$3&gt;240,"max. 240 m³/h",1.2041*$N$3*($N$4-$K$4))</f>
        <v>0</v>
      </c>
      <c r="L27" s="167">
        <v>480.56147546908778</v>
      </c>
      <c r="M27" s="168">
        <f>(($K$3+N27)/2-$K$4)^Konstanten!$E$5*$B27*$C27^Konstanten!$F$5*($K$3-N27)^Konstanten!$G$5*(($K$3+N27)/2)^Konstanten!$H$5*(Konstanten!$C$5-(($K$3-N27)^Konstanten!$I$5*Konstanten!$D$5))</f>
        <v>5589.5084133333658</v>
      </c>
      <c r="N27" s="169">
        <f>Iteration!AI17</f>
        <v>65</v>
      </c>
      <c r="O27" s="171">
        <f>Konstanten!$C$24*(((($K$3+$N27)*Konstanten!$I$24+$K$4)/(Konstanten!$I$24+2))^Konstanten!$D$24*$C27^Konstanten!$E$24*ABS($K$3-$N27)^Konstanten!$F$24+Konstanten!$H$24*($C27*$B27)^Konstanten!$G$24)</f>
        <v>43.028069881614414</v>
      </c>
      <c r="P27" s="170">
        <f xml:space="preserve"> 0.00057148*L27^1.764</f>
        <v>30.73308718724293</v>
      </c>
      <c r="Q27" s="433">
        <f>IF($N$3&gt;240,"max. 240 m³/h",1.2041*$N$3*($N$4-$K$4))</f>
        <v>0</v>
      </c>
      <c r="R27" s="167">
        <v>303</v>
      </c>
      <c r="S27" s="168">
        <f>IF(U27="Spreizung zu hoch","Spreizung zu hoch",IF(U27="Spreizung zu niedrig","Spreizung zu niedrig",Iteration!BN17))</f>
        <v>3251.2012173473859</v>
      </c>
      <c r="T27" s="168">
        <f>IF(U27="Spreizung zu hoch","Spreizung zu hoch",IF(U27="Spreizung zu niedrig","Spreizung zu niedrig",Iteration!BM17))</f>
        <v>2540.1060247330461</v>
      </c>
      <c r="U27" s="169">
        <f>IF(Iteration!BK17="RLT zu niedrig","Spreizung zu niedrig",IF(Iteration!BK17-Massenstromrechnung!$X$3&gt;8,"Spreizung zu hoch",Iteration!BK17))</f>
        <v>13.267144912496143</v>
      </c>
      <c r="V27" s="171">
        <f>Konstanten!$C$25*(((($X$3+$U27)*Konstanten!$I$25+$X$4)/(Konstanten!$I$25+2))^Konstanten!$D$25*$C27^Konstanten!$E$25*ABS(U27-$X$3)^Konstanten!$F$25+Konstanten!$H$25*($C27*$B27)^Konstanten!$G$25)</f>
        <v>15.981633889561573</v>
      </c>
      <c r="W27" s="171" t="str">
        <f>IF(U27="Spreizung zu hoch","Spreizung zu hoch",IF(U27="Spreizung zu niedrig","Spreizung zu niedrig",Iteration!BL17))</f>
        <v>feucht</v>
      </c>
      <c r="X27" s="170">
        <f>IF(U27="Spreizung zu hoch","Spreizung zu hoch",IF(U27="Spreizung zu niedrig","Spreizung zu niedrig",0.0003326*R27^1.8063))</f>
        <v>10.096063297951497</v>
      </c>
      <c r="Y27" s="172">
        <f t="shared" si="2"/>
        <v>1.1342236124996115</v>
      </c>
      <c r="Z27" s="427">
        <f>IF($AA$3&gt;240,"max. 240m³/h",1.2041*$AA$3*($X$4-$AA$4))</f>
        <v>0</v>
      </c>
      <c r="AA27" s="167">
        <v>592.96728650987222</v>
      </c>
      <c r="AB27" s="168">
        <f>IF(AD27="Spreizung zu hoch","Spreizung zu hoch",IF(AD27="Spreizung zu niedrig","Spreizung zu niedrig",Iteration!CS17))</f>
        <v>3454.9806092969739</v>
      </c>
      <c r="AC27" s="168">
        <f>IF(AD27="Spreizung zu hoch","Spreizung zu hoch",IF(AD27="Spreizung zu niedrig","Spreizung zu niedrig",Iteration!CR17))</f>
        <v>2620.788842525742</v>
      </c>
      <c r="AD27" s="145">
        <f>IF(Iteration!CP17="RLT zu niedrig","Spreizung zu niedrig",IF(Iteration!CP17-Massenstromrechnung!$X$3&gt;8,"Spreizung zu hoch",Iteration!CP17))</f>
        <v>11.977569312177163</v>
      </c>
      <c r="AE27" s="147">
        <f>Konstanten!$C$26*(((($X$3+$U27)*Konstanten!$I$26+$X$4)/(Konstanten!$I$26+2))^Konstanten!$D$26*$C27^Konstanten!$E$26*ABS(AD27-$X$3)^Konstanten!$F$26+Konstanten!$H$26*($C27*$B27)^Konstanten!$G$26)</f>
        <v>15.264836387132693</v>
      </c>
      <c r="AF27" s="147" t="str">
        <f>IF(AD27="Spreizung zu hoch","Spreizung zu hoch",IF(AD27="Spreizung zu niedrig","Spreizung zu niedrig",Iteration!CQ17))</f>
        <v>feucht</v>
      </c>
      <c r="AG27" s="170">
        <f>IF(AD27="Spreizung zu hoch","Spreizung zu hoch",IF(AD27="Spreizung zu niedrig","Spreizung zu niedrig",0.00099843*AA27^1.7385))</f>
        <v>66.10458050445844</v>
      </c>
      <c r="AH27" s="172">
        <f t="shared" si="4"/>
        <v>1.3305672841721023</v>
      </c>
      <c r="AI27" s="427">
        <f>IF($AA$3&gt;240,"max. 240m³/h",1.2041*$AA$3*($X$4-$AA$4))</f>
        <v>0</v>
      </c>
      <c r="AJ27" s="214">
        <v>765</v>
      </c>
      <c r="AK27" s="194">
        <v>44.735059962189212</v>
      </c>
      <c r="AL27" s="195">
        <v>52.735059962189212</v>
      </c>
      <c r="AM27" s="200">
        <v>34.700000000000003</v>
      </c>
      <c r="AN27" s="205">
        <v>309</v>
      </c>
      <c r="AO27" s="106"/>
    </row>
    <row r="28" spans="2:41" x14ac:dyDescent="0.3">
      <c r="B28" s="102">
        <v>1480</v>
      </c>
      <c r="C28" s="27">
        <v>985</v>
      </c>
      <c r="D28" s="436"/>
      <c r="E28" s="125">
        <v>80</v>
      </c>
      <c r="F28" s="149">
        <v>686.89800112656883</v>
      </c>
      <c r="G28" s="150">
        <f>(($K$3+H28)/2-$K$4)^Konstanten!$E$4*$B28*$C28^Konstanten!$F$4*($K$3-H28)^Konstanten!$G$4*(($K$3+H28)/2)^Konstanten!$H$4*(Konstanten!$C$4-(($K$3-H28)^Konstanten!$I$4*Konstanten!$D$4))</f>
        <v>7989.4505747700114</v>
      </c>
      <c r="H28" s="151">
        <f>Iteration!L18</f>
        <v>65</v>
      </c>
      <c r="I28" s="147">
        <f>Konstanten!$C$23*(((($K$3+$H28)*Konstanten!$I$23+$K$4)/(Konstanten!$I$23+2))^Konstanten!$D$23*$C28^Konstanten!$E$23*ABS($K$3-$H28)^Konstanten!$F$23+Konstanten!$H$23*($C28*$B28)^Konstanten!$G$23)</f>
        <v>60.133401928225453</v>
      </c>
      <c r="J28" s="219">
        <f>0.0003326*F28^1.8063</f>
        <v>44.279297360239816</v>
      </c>
      <c r="K28" s="428"/>
      <c r="L28" s="149">
        <v>411.42775627229668</v>
      </c>
      <c r="M28" s="150">
        <f>(($K$3+N28)/2-$K$4)^Konstanten!$E$5*$B28*$C28^Konstanten!$F$5*($K$3-N28)^Konstanten!$G$5*(($K$3+N28)/2)^Konstanten!$H$5*(Konstanten!$C$5-(($K$3-N28)^Konstanten!$I$5*Konstanten!$D$5))</f>
        <v>4785.4000425608383</v>
      </c>
      <c r="N28" s="151">
        <f>Iteration!AI18</f>
        <v>65</v>
      </c>
      <c r="O28" s="147">
        <f>Konstanten!$C$24*(((($K$3+$N28)*Konstanten!$I$24+$K$4)/(Konstanten!$I$24+2))^Konstanten!$D$24*$C28^Konstanten!$E$24*ABS($K$3-$N28)^Konstanten!$F$24+Konstanten!$H$24*($C28*$B28)^Konstanten!$G$24)</f>
        <v>45.032326477135683</v>
      </c>
      <c r="P28" s="152">
        <f t="shared" ref="P28:P31" si="11" xml:space="preserve"> 0.00057148*L28^1.764</f>
        <v>23.367643804968075</v>
      </c>
      <c r="Q28" s="431"/>
      <c r="R28" s="149">
        <v>303</v>
      </c>
      <c r="S28" s="150">
        <f>IF(U28="Spreizung zu hoch","Spreizung zu hoch",IF(U28="Spreizung zu niedrig","Spreizung zu niedrig",Iteration!BN18))</f>
        <v>2383.2477461140852</v>
      </c>
      <c r="T28" s="150">
        <f>IF(U28="Spreizung zu hoch","Spreizung zu hoch",IF(U28="Spreizung zu niedrig","Spreizung zu niedrig",Iteration!BM18))</f>
        <v>1859.3904624721977</v>
      </c>
      <c r="U28" s="151">
        <f>IF(Iteration!BK18="RLT zu niedrig","Spreizung zu niedrig",IF(Iteration!BK18-Massenstromrechnung!$X$3&gt;8,"Spreizung zu hoch",Iteration!BK18))</f>
        <v>13.636711613248846</v>
      </c>
      <c r="V28" s="147">
        <f>Konstanten!$C$25*(((($X$3+$U28)*Konstanten!$I$25+$X$4)/(Konstanten!$I$25+2))^Konstanten!$D$25*$C28^Konstanten!$E$25*ABS(U28-$X$3)^Konstanten!$F$25+Konstanten!$H$25*($C28*$B28)^Konstanten!$G$25)</f>
        <v>16.277420453917436</v>
      </c>
      <c r="W28" s="153" t="str">
        <f>IF(U28="Spreizung zu hoch","Spreizung zu hoch",IF(U28="Spreizung zu niedrig","Spreizung zu niedrig",Iteration!BL18))</f>
        <v>feucht</v>
      </c>
      <c r="X28" s="152">
        <f t="shared" ref="X28:X31" si="12">IF(U28="Spreizung zu hoch","Spreizung zu hoch",IF(U28="Spreizung zu niedrig","Spreizung zu niedrig",0.0003326*R28^1.8063))</f>
        <v>10.096063297951497</v>
      </c>
      <c r="Y28" s="154">
        <f t="shared" si="2"/>
        <v>0.83557209619441519</v>
      </c>
      <c r="Z28" s="428"/>
      <c r="AA28" s="149">
        <v>447.53999505143747</v>
      </c>
      <c r="AB28" s="150">
        <f>IF(AD28="Spreizung zu hoch","Spreizung zu hoch",IF(AD28="Spreizung zu niedrig","Spreizung zu niedrig",Iteration!CS18))</f>
        <v>2607.6166927712343</v>
      </c>
      <c r="AC28" s="150">
        <f>IF(AD28="Spreizung zu hoch","Spreizung zu hoch",IF(AD28="Spreizung zu niedrig","Spreizung zu niedrig",Iteration!CR18))</f>
        <v>1961.0326292306549</v>
      </c>
      <c r="AD28" s="151">
        <f>IF(Iteration!CP18="RLT zu niedrig","Spreizung zu niedrig",IF(Iteration!CP18-Massenstromrechnung!$X$3&gt;8,"Spreizung zu hoch",Iteration!CP18))</f>
        <v>11.977639988194175</v>
      </c>
      <c r="AE28" s="147">
        <f>Konstanten!$C$26*(((($X$3+$U28)*Konstanten!$I$26+$X$4)/(Konstanten!$I$26+2))^Konstanten!$D$26*$C28^Konstanten!$E$26*ABS(AD28-$X$3)^Konstanten!$F$26+Konstanten!$H$26*($C28*$B28)^Konstanten!$G$26)</f>
        <v>15.020558049734374</v>
      </c>
      <c r="AF28" s="153" t="str">
        <f>IF(AD28="Spreizung zu hoch","Spreizung zu hoch",IF(AD28="Spreizung zu niedrig","Spreizung zu niedrig",Iteration!CQ18))</f>
        <v>feucht</v>
      </c>
      <c r="AG28" s="152">
        <f t="shared" ref="AG28:AG31" si="13">IF(AD28="Spreizung zu hoch","Spreizung zu hoch",IF(AD28="Spreizung zu niedrig","Spreizung zu niedrig",0.00099843*AA28^1.7385))</f>
        <v>40.531138014635651</v>
      </c>
      <c r="AH28" s="154">
        <f t="shared" si="4"/>
        <v>1.0313259320983987</v>
      </c>
      <c r="AI28" s="428"/>
      <c r="AJ28" s="214">
        <v>605</v>
      </c>
      <c r="AK28" s="194">
        <v>38.325549281022717</v>
      </c>
      <c r="AL28" s="195">
        <v>46.325549281022717</v>
      </c>
      <c r="AM28" s="201">
        <v>19.100000000000001</v>
      </c>
      <c r="AN28" s="206">
        <v>180</v>
      </c>
      <c r="AO28" s="106"/>
    </row>
    <row r="29" spans="2:41" x14ac:dyDescent="0.3">
      <c r="B29" s="102">
        <v>1480</v>
      </c>
      <c r="C29" s="27">
        <v>735</v>
      </c>
      <c r="D29" s="436"/>
      <c r="E29" s="125">
        <v>60</v>
      </c>
      <c r="F29" s="149">
        <v>502.76511880193539</v>
      </c>
      <c r="G29" s="150">
        <f>(($K$3+H29)/2-$K$4)^Konstanten!$E$4*$B29*$C29^Konstanten!$F$4*($K$3-H29)^Konstanten!$G$4*(($K$3+H29)/2)^Konstanten!$H$4*(Konstanten!$C$4-(($K$3-H29)^Konstanten!$I$4*Konstanten!$D$4))</f>
        <v>5847.7635119020988</v>
      </c>
      <c r="H29" s="151">
        <f>Iteration!L19</f>
        <v>65</v>
      </c>
      <c r="I29" s="147">
        <f>Konstanten!$C$23*(((($K$3+$H29)*Konstanten!$I$23+$K$4)/(Konstanten!$I$23+2))^Konstanten!$D$23*$C29^Konstanten!$E$23*ABS($K$3-$H29)^Konstanten!$F$23+Konstanten!$H$23*($C29*$B29)^Konstanten!$G$23)</f>
        <v>62.230681767887901</v>
      </c>
      <c r="J29" s="219">
        <f>0.0003326*F29^1.8063</f>
        <v>25.199858138081538</v>
      </c>
      <c r="K29" s="428"/>
      <c r="L29" s="149">
        <v>328.34397668353597</v>
      </c>
      <c r="M29" s="150">
        <f>(($K$3+N29)/2-$K$4)^Konstanten!$E$5*$B29*$C29^Konstanten!$F$5*($K$3-N29)^Konstanten!$G$5*(($K$3+N29)/2)^Konstanten!$H$5*(Konstanten!$C$5-(($K$3-N29)^Konstanten!$I$5*Konstanten!$D$5))</f>
        <v>3819.0356776903432</v>
      </c>
      <c r="N29" s="151">
        <f>Iteration!AI19</f>
        <v>65</v>
      </c>
      <c r="O29" s="147">
        <f>Konstanten!$C$24*(((($K$3+$N29)*Konstanten!$I$24+$K$4)/(Konstanten!$I$24+2))^Konstanten!$D$24*$C29^Konstanten!$E$24*ABS($K$3-$N29)^Konstanten!$F$24+Konstanten!$H$24*($C29*$B29)^Konstanten!$G$24)</f>
        <v>48.329701033219926</v>
      </c>
      <c r="P29" s="152">
        <f t="shared" si="11"/>
        <v>15.696596230858249</v>
      </c>
      <c r="Q29" s="431"/>
      <c r="R29" s="149">
        <v>303</v>
      </c>
      <c r="S29" s="150">
        <f>IF(U29="Spreizung zu hoch","Spreizung zu hoch",IF(U29="Spreizung zu niedrig","Spreizung zu niedrig",Iteration!BN19))</f>
        <v>1761.8182918534703</v>
      </c>
      <c r="T29" s="150">
        <f>IF(U29="Spreizung zu hoch","Spreizung zu hoch",IF(U29="Spreizung zu niedrig","Spreizung zu niedrig",Iteration!BM19))</f>
        <v>1309.5491409193953</v>
      </c>
      <c r="U29" s="151">
        <f>IF(Iteration!BK19="RLT zu niedrig","Spreizung zu niedrig",IF(Iteration!BK19-Massenstromrechnung!$X$3&gt;8,"Spreizung zu hoch",Iteration!BK19))</f>
        <v>11.990143913502379</v>
      </c>
      <c r="V29" s="147">
        <f>Konstanten!$C$25*(((($X$3+$U29)*Konstanten!$I$25+$X$4)/(Konstanten!$I$25+2))^Konstanten!$D$25*$C29^Konstanten!$E$25*ABS(U29-$X$3)^Konstanten!$F$25+Konstanten!$H$25*($C29*$B29)^Konstanten!$G$25)</f>
        <v>12.633402744950523</v>
      </c>
      <c r="W29" s="153" t="str">
        <f>IF(U29="Spreizung zu hoch","Spreizung zu hoch",IF(U29="Spreizung zu niedrig","Spreizung zu niedrig",Iteration!BL19))</f>
        <v>feucht</v>
      </c>
      <c r="X29" s="152">
        <f t="shared" si="12"/>
        <v>10.096063297951497</v>
      </c>
      <c r="Y29" s="154">
        <f t="shared" si="2"/>
        <v>0.7213863284726052</v>
      </c>
      <c r="Z29" s="428"/>
      <c r="AA29" s="149">
        <v>297.41749141780298</v>
      </c>
      <c r="AB29" s="150">
        <f>IF(AD29="Spreizung zu hoch","Spreizung zu hoch",IF(AD29="Spreizung zu niedrig","Spreizung zu niedrig",Iteration!CS19))</f>
        <v>1732.9025369099934</v>
      </c>
      <c r="AC29" s="150">
        <f>IF(AD29="Spreizung zu hoch","Spreizung zu hoch",IF(AD29="Spreizung zu niedrig","Spreizung zu niedrig",Iteration!CR19))</f>
        <v>1286.98471222474</v>
      </c>
      <c r="AD29" s="151">
        <f>IF(Iteration!CP19="RLT zu niedrig","Spreizung zu niedrig",IF(Iteration!CP19-Massenstromrechnung!$X$3&gt;8,"Spreizung zu hoch",Iteration!CP19))</f>
        <v>11.977741282387218</v>
      </c>
      <c r="AE29" s="147">
        <f>Konstanten!$C$26*(((($X$3+$U29)*Konstanten!$I$26+$X$4)/(Konstanten!$I$26+2))^Konstanten!$D$26*$C29^Konstanten!$E$26*ABS(AD29-$X$3)^Konstanten!$F$26+Konstanten!$H$26*($C29*$B29)^Konstanten!$G$26)</f>
        <v>13.249133304301569</v>
      </c>
      <c r="AF29" s="153" t="str">
        <f>IF(AD29="Spreizung zu hoch","Spreizung zu hoch",IF(AD29="Spreizung zu niedrig","Spreizung zu niedrig",Iteration!CQ19))</f>
        <v>feucht</v>
      </c>
      <c r="AG29" s="152">
        <f t="shared" si="13"/>
        <v>19.918897322885087</v>
      </c>
      <c r="AH29" s="154">
        <f t="shared" si="4"/>
        <v>0.71125572391090497</v>
      </c>
      <c r="AI29" s="428"/>
      <c r="AJ29" s="214">
        <v>425</v>
      </c>
      <c r="AK29" s="194">
        <v>29.200517756089937</v>
      </c>
      <c r="AL29" s="195">
        <v>37.200517756089937</v>
      </c>
      <c r="AM29" s="201">
        <v>10.4</v>
      </c>
      <c r="AN29" s="206">
        <v>108</v>
      </c>
      <c r="AO29" s="106"/>
    </row>
    <row r="30" spans="2:41" x14ac:dyDescent="0.3">
      <c r="B30" s="102">
        <v>1480</v>
      </c>
      <c r="C30" s="27">
        <v>495</v>
      </c>
      <c r="D30" s="436"/>
      <c r="E30" s="125">
        <v>40</v>
      </c>
      <c r="F30" s="149">
        <v>329.89090919399632</v>
      </c>
      <c r="G30" s="150">
        <f>(($K$3+H30)/2-$K$4)^Konstanten!$E$4*$B30*$C30^Konstanten!$F$4*($K$3-H30)^Konstanten!$G$4*(($K$3+H30)/2)^Konstanten!$H$4*(Konstanten!$C$4-(($K$3-H30)^Konstanten!$I$4*Konstanten!$D$4))</f>
        <v>3837.0283648353889</v>
      </c>
      <c r="H30" s="151">
        <f>Iteration!L20</f>
        <v>65</v>
      </c>
      <c r="I30" s="147">
        <f>Konstanten!$C$23*(((($K$3+$H30)*Konstanten!$I$23+$K$4)/(Konstanten!$I$23+2))^Konstanten!$D$23*$C30^Konstanten!$E$23*ABS($K$3-$H30)^Konstanten!$F$23+Konstanten!$H$23*($C30*$B30)^Konstanten!$G$23)</f>
        <v>65.198991416963352</v>
      </c>
      <c r="J30" s="219">
        <f>0.0003326*F30^1.8063</f>
        <v>11.772117933110019</v>
      </c>
      <c r="K30" s="428"/>
      <c r="L30" s="149">
        <v>242.13242052621101</v>
      </c>
      <c r="M30" s="150">
        <f>(($K$3+N30)/2-$K$4)^Konstanten!$E$5*$B30*$C30^Konstanten!$F$5*($K$3-N30)^Konstanten!$G$5*(($K$3+N30)/2)^Konstanten!$H$5*(Konstanten!$C$5-(($K$3-N30)^Konstanten!$I$5*Konstanten!$D$5))</f>
        <v>2816.2915064112058</v>
      </c>
      <c r="N30" s="151">
        <f>Iteration!AI20</f>
        <v>65</v>
      </c>
      <c r="O30" s="147">
        <f>Konstanten!$C$24*(((($K$3+$N30)*Konstanten!$I$24+$K$4)/(Konstanten!$I$24+2))^Konstanten!$D$24*$C30^Konstanten!$E$24*ABS($K$3-$N30)^Konstanten!$F$24+Konstanten!$H$24*($C30*$B30)^Konstanten!$G$24)</f>
        <v>53.590183633700633</v>
      </c>
      <c r="P30" s="152">
        <f t="shared" si="11"/>
        <v>9.1721347938701623</v>
      </c>
      <c r="Q30" s="431"/>
      <c r="R30" s="149">
        <v>303</v>
      </c>
      <c r="S30" s="150">
        <f>IF(U30="Spreizung zu hoch","Spreizung zu hoch",IF(U30="Spreizung zu niedrig","Spreizung zu niedrig",Iteration!BN20))</f>
        <v>1143.7588737550548</v>
      </c>
      <c r="T30" s="150">
        <f>IF(U30="Spreizung zu hoch","Spreizung zu hoch",IF(U30="Spreizung zu niedrig","Spreizung zu niedrig",Iteration!BM20))</f>
        <v>796.64276185531685</v>
      </c>
      <c r="U30" s="151">
        <f>IF(Iteration!BK20="RLT zu niedrig","Spreizung zu niedrig",IF(Iteration!BK20-Massenstromrechnung!$X$3&gt;8,"Spreizung zu hoch",Iteration!BK20))</f>
        <v>10.245072231889312</v>
      </c>
      <c r="V30" s="147">
        <f>Konstanten!$C$25*(((($X$3+$U30)*Konstanten!$I$25+$X$4)/(Konstanten!$I$25+2))^Konstanten!$D$25*$C30^Konstanten!$E$25*ABS(U30-$X$3)^Konstanten!$F$25+Konstanten!$H$25*($C30*$B30)^Konstanten!$G$25)</f>
        <v>9.0040466962058296</v>
      </c>
      <c r="W30" s="153" t="str">
        <f>IF(U30="Spreizung zu hoch","Spreizung zu hoch",IF(U30="Spreizung zu niedrig","Spreizung zu niedrig",Iteration!BL20))</f>
        <v>feucht</v>
      </c>
      <c r="X30" s="152">
        <f t="shared" si="12"/>
        <v>10.096063297951497</v>
      </c>
      <c r="Y30" s="154">
        <f t="shared" si="2"/>
        <v>0.55366327108509372</v>
      </c>
      <c r="Z30" s="428"/>
      <c r="AA30" s="149">
        <v>171.29686638295095</v>
      </c>
      <c r="AB30" s="150">
        <f>IF(AD30="Spreizung zu hoch","Spreizung zu hoch",IF(AD30="Spreizung zu niedrig","Spreizung zu niedrig",Iteration!CS20))</f>
        <v>998.04792419094952</v>
      </c>
      <c r="AC30" s="150">
        <f>IF(AD30="Spreizung zu hoch","Spreizung zu hoch",IF(AD30="Spreizung zu niedrig","Spreizung zu niedrig",Iteration!CR20))</f>
        <v>728.78299169359298</v>
      </c>
      <c r="AD30" s="151">
        <f>IF(Iteration!CP20="RLT zu niedrig","Spreizung zu niedrig",IF(Iteration!CP20-Massenstromrechnung!$X$3&gt;8,"Spreizung zu hoch",Iteration!CP20))</f>
        <v>11.977875565821689</v>
      </c>
      <c r="AE30" s="147">
        <f>Konstanten!$C$26*(((($X$3+$U30)*Konstanten!$I$26+$X$4)/(Konstanten!$I$26+2))^Konstanten!$D$26*$C30^Konstanten!$E$26*ABS(AD30-$X$3)^Konstanten!$F$26+Konstanten!$H$26*($C30*$B30)^Konstanten!$G$26)</f>
        <v>11.389674805622528</v>
      </c>
      <c r="AF30" s="153" t="str">
        <f>IF(AD30="Spreizung zu hoch","Spreizung zu hoch",IF(AD30="Spreizung zu niedrig","Spreizung zu niedrig",Iteration!CQ20))</f>
        <v>feucht</v>
      </c>
      <c r="AG30" s="152">
        <f t="shared" si="13"/>
        <v>7.6329248320333933</v>
      </c>
      <c r="AH30" s="154">
        <f t="shared" si="4"/>
        <v>0.42948770801527852</v>
      </c>
      <c r="AI30" s="428"/>
      <c r="AJ30" s="214">
        <v>255</v>
      </c>
      <c r="AK30" s="194">
        <v>19.972589973201991</v>
      </c>
      <c r="AL30" s="195">
        <v>27.972589973201991</v>
      </c>
      <c r="AM30" s="201">
        <v>6.8</v>
      </c>
      <c r="AN30" s="206">
        <v>80</v>
      </c>
      <c r="AO30" s="106"/>
    </row>
    <row r="31" spans="2:41" x14ac:dyDescent="0.3">
      <c r="B31" s="102">
        <v>1480</v>
      </c>
      <c r="C31" s="27">
        <v>315</v>
      </c>
      <c r="D31" s="442"/>
      <c r="E31" s="126">
        <v>20</v>
      </c>
      <c r="F31" s="161">
        <v>203.77047586316809</v>
      </c>
      <c r="G31" s="162">
        <f>(($K$3+H31)/2-$K$4)^Konstanten!$E$4*$B31*$C31^Konstanten!$F$4*($K$3-H31)^Konstanten!$G$4*(($K$3+H31)/2)^Konstanten!$H$4*(Konstanten!$C$4-(($K$3-H31)^Konstanten!$I$4*Konstanten!$D$4))</f>
        <v>2370.0959135651451</v>
      </c>
      <c r="H31" s="163">
        <f>Iteration!L21</f>
        <v>65</v>
      </c>
      <c r="I31" s="222">
        <f>Konstanten!$C$23*(((($K$3+$H31)*Konstanten!$I$23+$K$4)/(Konstanten!$I$23+2))^Konstanten!$D$23*$C31^Konstanten!$E$23*ABS($K$3-$H31)^Konstanten!$F$23+Konstanten!$H$23*($C31*$B31)^Konstanten!$G$23)</f>
        <v>68.794292847259086</v>
      </c>
      <c r="J31" s="220">
        <f>0.0003326*F31^1.8063</f>
        <v>4.9308762387193417</v>
      </c>
      <c r="K31" s="429"/>
      <c r="L31" s="161">
        <v>170.92815781442462</v>
      </c>
      <c r="M31" s="162">
        <f>(($K$3+N31)/2-$K$4)^Konstanten!$E$5*$B31*$C31^Konstanten!$F$5*($K$3-N31)^Konstanten!$G$5*(($K$3+N31)/2)^Konstanten!$H$5*(Konstanten!$C$5-(($K$3-N31)^Konstanten!$I$5*Konstanten!$D$5))</f>
        <v>1988.1002222383854</v>
      </c>
      <c r="N31" s="163">
        <f>Iteration!AI21</f>
        <v>65</v>
      </c>
      <c r="O31" s="222">
        <f>Konstanten!$C$24*(((($K$3+$N31)*Konstanten!$I$24+$K$4)/(Konstanten!$I$24+2))^Konstanten!$D$24*$C31^Konstanten!$E$24*ABS($K$3-$N31)^Konstanten!$F$24+Konstanten!$H$24*($C31*$B31)^Konstanten!$G$24)</f>
        <v>60.911630707629712</v>
      </c>
      <c r="P31" s="164">
        <f t="shared" si="11"/>
        <v>4.962314069048281</v>
      </c>
      <c r="Q31" s="432"/>
      <c r="R31" s="161">
        <v>303</v>
      </c>
      <c r="S31" s="162">
        <f>IF(U31="Spreizung zu hoch","Spreizung zu hoch",IF(U31="Spreizung zu niedrig","Spreizung zu niedrig",Iteration!BN21))</f>
        <v>662.13897187189116</v>
      </c>
      <c r="T31" s="162">
        <f>IF(U31="Spreizung zu hoch","Spreizung zu hoch",IF(U31="Spreizung zu niedrig","Spreizung zu niedrig",Iteration!BM21))</f>
        <v>429.09059206587222</v>
      </c>
      <c r="U31" s="163">
        <f>IF(Iteration!BK21="RLT zu niedrig","Spreizung zu niedrig",IF(Iteration!BK21-Massenstromrechnung!$X$3&gt;8,"Spreizung zu hoch",Iteration!BK21))</f>
        <v>8.8788057954666133</v>
      </c>
      <c r="V31" s="222">
        <f>Konstanten!$C$25*(((($X$3+$U31)*Konstanten!$I$25+$X$4)/(Konstanten!$I$25+2))^Konstanten!$D$25*$C31^Konstanten!$E$25*ABS(U31-$X$3)^Konstanten!$F$25+Konstanten!$H$25*($C31*$B31)^Konstanten!$G$25)</f>
        <v>6.1968745186192571</v>
      </c>
      <c r="W31" s="165" t="str">
        <f>IF(U31="Spreizung zu hoch","Spreizung zu hoch",IF(U31="Spreizung zu niedrig","Spreizung zu niedrig",Iteration!BL21))</f>
        <v>feucht</v>
      </c>
      <c r="X31" s="164">
        <f t="shared" si="12"/>
        <v>10.096063297951497</v>
      </c>
      <c r="Y31" s="166">
        <f t="shared" si="2"/>
        <v>0.37172094253507676</v>
      </c>
      <c r="Z31" s="429"/>
      <c r="AA31" s="161">
        <v>91.156359089362581</v>
      </c>
      <c r="AB31" s="162">
        <f>IF(AD31="Spreizung zu hoch","Spreizung zu hoch",IF(AD31="Spreizung zu niedrig","Spreizung zu niedrig",Iteration!CS21))</f>
        <v>531.10774458978165</v>
      </c>
      <c r="AC31" s="162">
        <f>IF(AD31="Spreizung zu hoch","Spreizung zu hoch",IF(AD31="Spreizung zu niedrig","Spreizung zu niedrig",Iteration!CR21))</f>
        <v>380.37904146553547</v>
      </c>
      <c r="AD31" s="157">
        <f>IF(Iteration!CP21="RLT zu niedrig","Spreizung zu niedrig",IF(Iteration!CP21-Massenstromrechnung!$X$3&gt;8,"Spreizung zu hoch",Iteration!CP21))</f>
        <v>11.978025674526721</v>
      </c>
      <c r="AE31" s="223">
        <f>Konstanten!$C$26*(((($X$3+$U31)*Konstanten!$I$26+$X$4)/(Konstanten!$I$26+2))^Konstanten!$D$26*$C31^Konstanten!$E$26*ABS(AD31-$X$3)^Konstanten!$F$26+Konstanten!$H$26*($C31*$B31)^Konstanten!$G$26)</f>
        <v>9.8678687969489225</v>
      </c>
      <c r="AF31" s="159" t="str">
        <f>IF(AD31="Spreizung zu hoch","Spreizung zu hoch",IF(AD31="Spreizung zu niedrig","Spreizung zu niedrig",Iteration!CQ21))</f>
        <v>feucht</v>
      </c>
      <c r="AG31" s="164">
        <f t="shared" si="13"/>
        <v>2.5492197243299781</v>
      </c>
      <c r="AH31" s="166">
        <f t="shared" si="4"/>
        <v>0.24041795801829255</v>
      </c>
      <c r="AI31" s="429"/>
      <c r="AJ31" s="215">
        <v>125</v>
      </c>
      <c r="AK31" s="196">
        <v>16.542168546188638</v>
      </c>
      <c r="AL31" s="197">
        <v>24.542168546188638</v>
      </c>
      <c r="AM31" s="202">
        <v>5.6</v>
      </c>
      <c r="AN31" s="208">
        <v>73</v>
      </c>
      <c r="AO31" s="106"/>
    </row>
    <row r="32" spans="2:41" x14ac:dyDescent="0.3">
      <c r="B32" s="102">
        <v>1890</v>
      </c>
      <c r="C32" s="27">
        <v>1205</v>
      </c>
      <c r="D32" s="435">
        <v>2500</v>
      </c>
      <c r="E32" s="192">
        <v>100</v>
      </c>
      <c r="F32" s="167">
        <v>1087.4571265380816</v>
      </c>
      <c r="G32" s="168">
        <f>(($K$3+H32)/2-$K$4)^Konstanten!$E$4*$B32*$C32^Konstanten!$F$4*($K$3-H32)^Konstanten!$G$4*(($K$3+H32)/2)^Konstanten!$H$4*(Konstanten!$C$4-(($K$3-H32)^Konstanten!$I$4*Konstanten!$D$4))</f>
        <v>12648.435357808712</v>
      </c>
      <c r="H32" s="169">
        <f>Iteration!L22</f>
        <v>65</v>
      </c>
      <c r="I32" s="171">
        <f>Konstanten!$C$23*(((($K$3+$H32)*Konstanten!$I$23+$K$4)/(Konstanten!$I$23+2))^Konstanten!$D$23*$C32^Konstanten!$E$23*ABS($K$3-$H32)^Konstanten!$F$23+Konstanten!$H$23*($C32*$B32)^Konstanten!$G$23)</f>
        <v>58.807894043337882</v>
      </c>
      <c r="J32" s="219">
        <f>0.00015861*F32^1.7759</f>
        <v>39.146675978194423</v>
      </c>
      <c r="K32" s="427">
        <f>IF($N$3&gt;300,"max. 300 m³/h",1.2041*$N$3*($N$4-$K$4))</f>
        <v>0</v>
      </c>
      <c r="L32" s="167">
        <v>613.68999232201088</v>
      </c>
      <c r="M32" s="168">
        <f>(($K$3+N32)/2-$K$4)^Konstanten!$E$5*$B32*$C32^Konstanten!$F$5*($K$3-N32)^Konstanten!$G$5*(($K$3+N32)/2)^Konstanten!$H$5*(Konstanten!$C$5-(($K$3-N32)^Konstanten!$I$5*Konstanten!$D$5))</f>
        <v>7137.9533116216644</v>
      </c>
      <c r="N32" s="169">
        <f>Iteration!AI22</f>
        <v>65</v>
      </c>
      <c r="O32" s="171">
        <f>Konstanten!$C$24*(((($K$3+$N32)*Konstanten!$I$24+$K$4)/(Konstanten!$I$24+2))^Konstanten!$D$24*$C32^Konstanten!$E$24*ABS($K$3-$N32)^Konstanten!$F$24+Konstanten!$H$24*($C32*$B32)^Konstanten!$G$24)</f>
        <v>43.579436011091012</v>
      </c>
      <c r="P32" s="170">
        <f xml:space="preserve"> 0.00077444*L32^1.7521</f>
        <v>59.395465620777401</v>
      </c>
      <c r="Q32" s="433">
        <f>IF($N$3&gt;300,"max. 300 m³/h",1.2041*$N$3*($N$4-$K$4))</f>
        <v>0</v>
      </c>
      <c r="R32" s="167">
        <v>773.80696941672136</v>
      </c>
      <c r="S32" s="168">
        <f>IF(U32="Spreizung zu hoch","Spreizung zu hoch",IF(U32="Spreizung zu niedrig","Spreizung zu niedrig",Iteration!BN22))</f>
        <v>4502.3189796415709</v>
      </c>
      <c r="T32" s="168">
        <f>IF(U32="Spreizung zu hoch","Spreizung zu hoch",IF(U32="Spreizung zu niedrig","Spreizung zu niedrig",Iteration!BM22))</f>
        <v>3444.4961860110157</v>
      </c>
      <c r="U32" s="169">
        <f>IF(Iteration!BK22="RLT zu niedrig","Spreizung zu niedrig",IF(Iteration!BK22-Massenstromrechnung!$X$3&gt;8,"Spreizung zu hoch",Iteration!BK22))</f>
        <v>11.993264310045834</v>
      </c>
      <c r="V32" s="171">
        <f>Konstanten!$C$25*(((($X$3+$U32)*Konstanten!$I$25+$X$4)/(Konstanten!$I$25+2))^Konstanten!$D$25*$C32^Konstanten!$E$25*ABS(U32-$X$3)^Konstanten!$F$25+Konstanten!$H$25*($C32*$B32)^Konstanten!$G$25)</f>
        <v>13.491191232270772</v>
      </c>
      <c r="W32" s="171" t="str">
        <f>IF(U32="Spreizung zu hoch","Spreizung zu hoch",IF(U32="Spreizung zu niedrig","Spreizung zu niedrig",Iteration!BL22))</f>
        <v>feucht</v>
      </c>
      <c r="X32" s="170">
        <f>IF(U32="Spreizung zu hoch","Spreizung zu hoch",IF(U32="Spreizung zu niedrig","Spreizung zu niedrig",0.00015861*R32^1.7759))</f>
        <v>21.392092364717399</v>
      </c>
      <c r="Y32" s="172">
        <f t="shared" si="2"/>
        <v>1.6872671940939294</v>
      </c>
      <c r="Z32" s="427">
        <f>IF($AA$3&gt;300,"max. 300m³/h",1.2041*$AA$3*($X$4-$AA$4))</f>
        <v>0</v>
      </c>
      <c r="AA32" s="167">
        <v>751.74889746729036</v>
      </c>
      <c r="AB32" s="168">
        <f>IF(AD32="Spreizung zu hoch","Spreizung zu hoch",IF(AD32="Spreizung zu niedrig","Spreizung zu niedrig",Iteration!CS22))</f>
        <v>4380.1624619562454</v>
      </c>
      <c r="AC32" s="168">
        <f>IF(AD32="Spreizung zu hoch","Spreizung zu hoch",IF(AD32="Spreizung zu niedrig","Spreizung zu niedrig",Iteration!CR22))</f>
        <v>3346.830390615175</v>
      </c>
      <c r="AD32" s="169">
        <f>IF(Iteration!CP22="RLT zu niedrig","Spreizung zu niedrig",IF(Iteration!CP22-Massenstromrechnung!$X$3&gt;8,"Spreizung zu hoch",Iteration!CP22))</f>
        <v>11.977509120566427</v>
      </c>
      <c r="AE32" s="171">
        <f>Konstanten!$C$26*(((($X$3+$U32)*Konstanten!$I$26+$X$4)/(Konstanten!$I$26+2))^Konstanten!$D$26*$C32^Konstanten!$E$26*ABS(AD32-$X$3)^Konstanten!$F$26+Konstanten!$H$26*($C32*$B32)^Konstanten!$G$26)</f>
        <v>14.347106941605151</v>
      </c>
      <c r="AF32" s="171" t="str">
        <f>IF(AD32="Spreizung zu hoch","Spreizung zu hoch",IF(AD32="Spreizung zu niedrig","Spreizung zu niedrig",Iteration!CQ22))</f>
        <v>feucht</v>
      </c>
      <c r="AG32" s="170">
        <f>IF(AD32="Spreizung zu hoch","Spreizung zu hoch",IF(AD32="Spreizung zu niedrig","Spreizung zu niedrig",0.00099843*AA32^1.7385))</f>
        <v>99.855084692142981</v>
      </c>
      <c r="AH32" s="172">
        <f t="shared" si="4"/>
        <v>1.6482035697066253</v>
      </c>
      <c r="AI32" s="427">
        <f>IF($AA$3&gt;300,"max. 300m³/h",1.2041*$AA$3*($X$4-$AA$4))</f>
        <v>0</v>
      </c>
      <c r="AJ32" s="214">
        <v>975</v>
      </c>
      <c r="AK32" s="194">
        <v>45.841214051768304</v>
      </c>
      <c r="AL32" s="195">
        <v>53.841214051768304</v>
      </c>
      <c r="AM32" s="204">
        <v>43.1</v>
      </c>
      <c r="AN32" s="209">
        <v>383</v>
      </c>
      <c r="AO32" s="106"/>
    </row>
    <row r="33" spans="1:41" x14ac:dyDescent="0.3">
      <c r="B33" s="102">
        <v>1890</v>
      </c>
      <c r="C33" s="27">
        <v>985</v>
      </c>
      <c r="D33" s="436"/>
      <c r="E33" s="125">
        <v>80</v>
      </c>
      <c r="F33" s="149">
        <v>877.18731224946953</v>
      </c>
      <c r="G33" s="150">
        <f>(($K$3+H33)/2-$K$4)^Konstanten!$E$4*$B33*$C33^Konstanten!$F$4*($K$3-H33)^Konstanten!$G$4*(($K$3+H33)/2)^Konstanten!$H$4*(Konstanten!$C$4-(($K$3-H33)^Konstanten!$I$4*Konstanten!$D$4))</f>
        <v>10202.744315077918</v>
      </c>
      <c r="H33" s="151">
        <f>Iteration!L23</f>
        <v>65</v>
      </c>
      <c r="I33" s="147">
        <f>Konstanten!$C$23*(((($K$3+$H33)*Konstanten!$I$23+$K$4)/(Konstanten!$I$23+2))^Konstanten!$D$23*$C33^Konstanten!$E$23*ABS($K$3-$H33)^Konstanten!$F$23+Konstanten!$H$23*($C33*$B33)^Konstanten!$G$23)</f>
        <v>60.202684037331736</v>
      </c>
      <c r="J33" s="219">
        <f>0.00015861*F33^1.7759</f>
        <v>26.728110256318551</v>
      </c>
      <c r="K33" s="428"/>
      <c r="L33" s="149">
        <v>525.40436442881139</v>
      </c>
      <c r="M33" s="150">
        <f>(($K$3+N33)/2-$K$4)^Konstanten!$E$5*$B33*$C33^Konstanten!$F$5*($K$3-N33)^Konstanten!$G$5*(($K$3+N33)/2)^Konstanten!$H$5*(Konstanten!$C$5-(($K$3-N33)^Konstanten!$I$5*Konstanten!$D$5))</f>
        <v>6111.0851894864763</v>
      </c>
      <c r="N33" s="151">
        <f>Iteration!AI23</f>
        <v>65</v>
      </c>
      <c r="O33" s="147">
        <f>Konstanten!$C$24*(((($K$3+$N33)*Konstanten!$I$24+$K$4)/(Konstanten!$I$24+2))^Konstanten!$D$24*$C33^Konstanten!$E$24*ABS($K$3-$N33)^Konstanten!$F$24+Konstanten!$H$24*($C33*$B33)^Konstanten!$G$24)</f>
        <v>45.565462476142443</v>
      </c>
      <c r="P33" s="152">
        <f t="shared" ref="P33:P36" si="14" xml:space="preserve"> 0.00077444*L33^1.7521</f>
        <v>45.244390919982983</v>
      </c>
      <c r="Q33" s="431"/>
      <c r="R33" s="149">
        <v>581.36470986009147</v>
      </c>
      <c r="S33" s="150">
        <f>IF(U33="Spreizung zu hoch","Spreizung zu hoch",IF(U33="Spreizung zu niedrig","Spreizung zu niedrig",Iteration!BN23))</f>
        <v>3382.6053250102705</v>
      </c>
      <c r="T33" s="150">
        <f>IF(U33="Spreizung zu hoch","Spreizung zu hoch",IF(U33="Spreizung zu niedrig","Spreizung zu niedrig",Iteration!BM23))</f>
        <v>2565.2826566735171</v>
      </c>
      <c r="U33" s="151">
        <f>IF(Iteration!BK23="RLT zu niedrig","Spreizung zu niedrig",IF(Iteration!BK23-Massenstromrechnung!$X$3&gt;8,"Spreizung zu hoch",Iteration!BK23))</f>
        <v>11.99329141796823</v>
      </c>
      <c r="V33" s="147">
        <f>Konstanten!$C$25*(((($X$3+$U33)*Konstanten!$I$25+$X$4)/(Konstanten!$I$25+2))^Konstanten!$D$25*$C33^Konstanten!$E$25*ABS(U33-$X$3)^Konstanten!$F$25+Konstanten!$H$25*($C33*$B33)^Konstanten!$G$25)</f>
        <v>13.136906118320709</v>
      </c>
      <c r="W33" s="153" t="str">
        <f>IF(U33="Spreizung zu hoch","Spreizung zu hoch",IF(U33="Spreizung zu niedrig","Spreizung zu niedrig",Iteration!BL23))</f>
        <v>feucht</v>
      </c>
      <c r="X33" s="152">
        <f t="shared" ref="X33:X36" si="15">IF(U33="Spreizung zu hoch","Spreizung zu hoch",IF(U33="Spreizung zu niedrig","Spreizung zu niedrig",0.00015861*R33^1.7759))</f>
        <v>12.874042851129065</v>
      </c>
      <c r="Y33" s="154">
        <f t="shared" si="2"/>
        <v>1.3036604368685478</v>
      </c>
      <c r="Z33" s="428"/>
      <c r="AA33" s="149">
        <v>567.37832070579759</v>
      </c>
      <c r="AB33" s="150">
        <f>IF(AD33="Spreizung zu hoch","Spreizung zu hoch",IF(AD33="Spreizung zu niedrig","Spreizung zu niedrig",Iteration!CS23))</f>
        <v>3305.8804791637021</v>
      </c>
      <c r="AC33" s="150">
        <f>IF(AD33="Spreizung zu hoch","Spreizung zu hoch",IF(AD33="Spreizung zu niedrig","Spreizung zu niedrig",Iteration!CR23))</f>
        <v>2504.3007039602239</v>
      </c>
      <c r="AD33" s="151">
        <f>IF(Iteration!CP23="RLT zu niedrig","Spreizung zu niedrig",IF(Iteration!CP23-Massenstromrechnung!$X$3&gt;8,"Spreizung zu hoch",Iteration!CP23))</f>
        <v>11.977580442995031</v>
      </c>
      <c r="AE33" s="147">
        <f>Konstanten!$C$26*(((($X$3+$U33)*Konstanten!$I$26+$X$4)/(Konstanten!$I$26+2))^Konstanten!$D$26*$C33^Konstanten!$E$26*ABS(AD33-$X$3)^Konstanten!$F$26+Konstanten!$H$26*($C33*$B33)^Konstanten!$G$26)</f>
        <v>13.878192837343894</v>
      </c>
      <c r="AF33" s="153" t="str">
        <f>IF(AD33="Spreizung zu hoch","Spreizung zu hoch",IF(AD33="Spreizung zu niedrig","Spreizung zu niedrig",Iteration!CQ23))</f>
        <v>feucht</v>
      </c>
      <c r="AG33" s="152">
        <f t="shared" ref="AG33:AG36" si="16">IF(AD33="Spreizung zu hoch","Spreizung zu hoch",IF(AD33="Spreizung zu niedrig","Spreizung zu niedrig",0.00099843*AA33^1.7385))</f>
        <v>61.224518190523206</v>
      </c>
      <c r="AH33" s="154">
        <f t="shared" si="4"/>
        <v>1.2785499294339928</v>
      </c>
      <c r="AI33" s="428"/>
      <c r="AJ33" s="214">
        <v>775</v>
      </c>
      <c r="AK33" s="194">
        <v>39.431703370601809</v>
      </c>
      <c r="AL33" s="195">
        <v>47.431703370601809</v>
      </c>
      <c r="AM33" s="201">
        <v>23.7</v>
      </c>
      <c r="AN33" s="206">
        <v>224</v>
      </c>
      <c r="AO33" s="106"/>
    </row>
    <row r="34" spans="1:41" x14ac:dyDescent="0.3">
      <c r="B34" s="102">
        <v>1890</v>
      </c>
      <c r="C34" s="27">
        <v>735</v>
      </c>
      <c r="D34" s="436"/>
      <c r="E34" s="125">
        <v>60</v>
      </c>
      <c r="F34" s="149">
        <v>642.04464495652542</v>
      </c>
      <c r="G34" s="150">
        <f>(($K$3+H34)/2-$K$4)^Konstanten!$E$4*$B34*$C34^Konstanten!$F$4*($K$3-H34)^Konstanten!$G$4*(($K$3+H34)/2)^Konstanten!$H$4*(Konstanten!$C$4-(($K$3-H34)^Konstanten!$I$4*Konstanten!$D$4))</f>
        <v>7467.7520523614612</v>
      </c>
      <c r="H34" s="151">
        <f>Iteration!L24</f>
        <v>65</v>
      </c>
      <c r="I34" s="147">
        <f>Konstanten!$C$23*(((($K$3+$H34)*Konstanten!$I$23+$K$4)/(Konstanten!$I$23+2))^Konstanten!$D$23*$C34^Konstanten!$E$23*ABS($K$3-$H34)^Konstanten!$F$23+Konstanten!$H$23*($C34*$B34)^Konstanten!$G$23)</f>
        <v>62.298338394864857</v>
      </c>
      <c r="J34" s="219">
        <f>0.00015861*F34^1.7759</f>
        <v>15.35626696473374</v>
      </c>
      <c r="K34" s="428"/>
      <c r="L34" s="149">
        <v>419.3041323864075</v>
      </c>
      <c r="M34" s="150">
        <f>(($K$3+N34)/2-$K$4)^Konstanten!$E$5*$B34*$C34^Konstanten!$F$5*($K$3-N34)^Konstanten!$G$5*(($K$3+N34)/2)^Konstanten!$H$5*(Konstanten!$C$5-(($K$3-N34)^Konstanten!$I$5*Konstanten!$D$5))</f>
        <v>4877.0117775910467</v>
      </c>
      <c r="N34" s="151">
        <f>Iteration!AI24</f>
        <v>65</v>
      </c>
      <c r="O34" s="147">
        <f>Konstanten!$C$24*(((($K$3+$N34)*Konstanten!$I$24+$K$4)/(Konstanten!$I$24+2))^Konstanten!$D$24*$C34^Konstanten!$E$24*ABS($K$3-$N34)^Konstanten!$F$24+Konstanten!$H$24*($C34*$B34)^Konstanten!$G$24)</f>
        <v>48.83742960998768</v>
      </c>
      <c r="P34" s="152">
        <f t="shared" si="14"/>
        <v>30.473412251363467</v>
      </c>
      <c r="Q34" s="431"/>
      <c r="R34" s="149">
        <v>383.79604944600868</v>
      </c>
      <c r="S34" s="150">
        <f>IF(U34="Spreizung zu hoch","Spreizung zu hoch",IF(U34="Spreizung zu niedrig","Spreizung zu niedrig",Iteration!BN24))</f>
        <v>2233.0671751126733</v>
      </c>
      <c r="T34" s="150">
        <f>IF(U34="Spreizung zu hoch","Spreizung zu hoch",IF(U34="Spreizung zu niedrig","Spreizung zu niedrig",Iteration!BM24))</f>
        <v>1672.077305334738</v>
      </c>
      <c r="U34" s="151">
        <f>IF(Iteration!BK24="RLT zu niedrig","Spreizung zu niedrig",IF(Iteration!BK24-Massenstromrechnung!$X$3&gt;8,"Spreizung zu hoch",Iteration!BK24))</f>
        <v>11.993330231861581</v>
      </c>
      <c r="V34" s="147">
        <f>Konstanten!$C$25*(((($X$3+$U34)*Konstanten!$I$25+$X$4)/(Konstanten!$I$25+2))^Konstanten!$D$25*$C34^Konstanten!$E$25*ABS(U34-$X$3)^Konstanten!$F$25+Konstanten!$H$25*($C34*$B34)^Konstanten!$G$25)</f>
        <v>12.638919708702003</v>
      </c>
      <c r="W34" s="153" t="str">
        <f>IF(U34="Spreizung zu hoch","Spreizung zu hoch",IF(U34="Spreizung zu niedrig","Spreizung zu niedrig",Iteration!BL24))</f>
        <v>feucht</v>
      </c>
      <c r="X34" s="152">
        <f t="shared" si="15"/>
        <v>6.157928517236356</v>
      </c>
      <c r="Y34" s="154">
        <f t="shared" si="2"/>
        <v>0.89479996951730945</v>
      </c>
      <c r="Z34" s="428"/>
      <c r="AA34" s="149">
        <v>377.05585910345428</v>
      </c>
      <c r="AB34" s="150">
        <f>IF(AD34="Spreizung zu hoch","Spreizung zu hoch",IF(AD34="Spreizung zu niedrig","Spreizung zu niedrig",Iteration!CS24))</f>
        <v>2196.9278525673435</v>
      </c>
      <c r="AC34" s="150">
        <f>IF(AD34="Spreizung zu hoch","Spreizung zu hoch",IF(AD34="Spreizung zu niedrig","Spreizung zu niedrig",Iteration!CR24))</f>
        <v>1643.5200985443585</v>
      </c>
      <c r="AD34" s="151">
        <f>IF(Iteration!CP24="RLT zu niedrig","Spreizung zu niedrig",IF(Iteration!CP24-Massenstromrechnung!$X$3&gt;8,"Spreizung zu hoch",Iteration!CP24))</f>
        <v>11.977682662264934</v>
      </c>
      <c r="AE34" s="147">
        <f>Konstanten!$C$26*(((($X$3+$U34)*Konstanten!$I$26+$X$4)/(Konstanten!$I$26+2))^Konstanten!$D$26*$C34^Konstanten!$E$26*ABS(AD34-$X$3)^Konstanten!$F$26+Konstanten!$H$26*($C34*$B34)^Konstanten!$G$26)</f>
        <v>13.228806332266496</v>
      </c>
      <c r="AF34" s="153" t="str">
        <f>IF(AD34="Spreizung zu hoch","Spreizung zu hoch",IF(AD34="Spreizung zu niedrig","Spreizung zu niedrig",Iteration!CQ24))</f>
        <v>feucht</v>
      </c>
      <c r="AG34" s="152">
        <f t="shared" si="16"/>
        <v>30.08838796924119</v>
      </c>
      <c r="AH34" s="154">
        <f t="shared" si="4"/>
        <v>0.88270620934104838</v>
      </c>
      <c r="AI34" s="428"/>
      <c r="AJ34" s="214">
        <v>545</v>
      </c>
      <c r="AK34" s="194">
        <v>30.30667184566903</v>
      </c>
      <c r="AL34" s="195">
        <v>38.30667184566903</v>
      </c>
      <c r="AM34" s="201">
        <v>12.9</v>
      </c>
      <c r="AN34" s="206">
        <v>134</v>
      </c>
      <c r="AO34" s="106"/>
    </row>
    <row r="35" spans="1:41" x14ac:dyDescent="0.3">
      <c r="B35" s="102">
        <v>1890</v>
      </c>
      <c r="C35" s="27">
        <v>495</v>
      </c>
      <c r="D35" s="436"/>
      <c r="E35" s="125">
        <v>40</v>
      </c>
      <c r="F35" s="149">
        <v>421.27960701125198</v>
      </c>
      <c r="G35" s="150">
        <f>(($K$3+H35)/2-$K$4)^Konstanten!$E$4*$B35*$C35^Konstanten!$F$4*($K$3-H35)^Konstanten!$G$4*(($K$3+H35)/2)^Konstanten!$H$4*(Konstanten!$C$4-(($K$3-H35)^Konstanten!$I$4*Konstanten!$D$4))</f>
        <v>4899.9889253641113</v>
      </c>
      <c r="H35" s="151">
        <f>Iteration!L25</f>
        <v>65</v>
      </c>
      <c r="I35" s="147">
        <f>Konstanten!$C$23*(((($K$3+$H35)*Konstanten!$I$23+$K$4)/(Konstanten!$I$23+2))^Konstanten!$D$23*$C35^Konstanten!$E$23*ABS($K$3-$H35)^Konstanten!$F$23+Konstanten!$H$23*($C35*$B35)^Konstanten!$G$23)</f>
        <v>65.264513590270425</v>
      </c>
      <c r="J35" s="219">
        <f>0.00015861*F35^1.7759</f>
        <v>7.2661641291075423</v>
      </c>
      <c r="K35" s="428"/>
      <c r="L35" s="149">
        <v>309.20964513144514</v>
      </c>
      <c r="M35" s="150">
        <f>(($K$3+N35)/2-$K$4)^Konstanten!$E$5*$B35*$C35^Konstanten!$F$5*($K$3-N35)^Konstanten!$G$5*(($K$3+N35)/2)^Konstanten!$H$5*(Konstanten!$C$5-(($K$3-N35)^Konstanten!$I$5*Konstanten!$D$5))</f>
        <v>3596.4803696737695</v>
      </c>
      <c r="N35" s="151">
        <f>Iteration!AI25</f>
        <v>65</v>
      </c>
      <c r="O35" s="147">
        <f>Konstanten!$C$24*(((($K$3+$N35)*Konstanten!$I$24+$K$4)/(Konstanten!$I$24+2))^Konstanten!$D$24*$C35^Konstanten!$E$24*ABS($K$3-$N35)^Konstanten!$F$24+Konstanten!$H$24*($C35*$B35)^Konstanten!$G$24)</f>
        <v>54.065516422927217</v>
      </c>
      <c r="P35" s="152">
        <f t="shared" si="14"/>
        <v>17.871463326120445</v>
      </c>
      <c r="Q35" s="431"/>
      <c r="R35" s="149">
        <v>219.07412521920068</v>
      </c>
      <c r="S35" s="150">
        <f>IF(U35="Spreizung zu hoch","Spreizung zu hoch",IF(U35="Spreizung zu niedrig","Spreizung zu niedrig",Iteration!BN25))</f>
        <v>1274.6488407998804</v>
      </c>
      <c r="T35" s="150">
        <f>IF(U35="Spreizung zu hoch","Spreizung zu hoch",IF(U35="Spreizung zu niedrig","Spreizung zu niedrig",Iteration!BM25))</f>
        <v>938.15452261220264</v>
      </c>
      <c r="U35" s="151">
        <f>IF(Iteration!BK25="RLT zu niedrig","Spreizung zu niedrig",IF(Iteration!BK25-Massenstromrechnung!$X$3&gt;8,"Spreizung zu hoch",Iteration!BK25))</f>
        <v>11.993381617715185</v>
      </c>
      <c r="V35" s="147">
        <f>Konstanten!$C$25*(((($X$3+$U35)*Konstanten!$I$25+$X$4)/(Konstanten!$I$25+2))^Konstanten!$D$25*$C35^Konstanten!$E$25*ABS(U35-$X$3)^Konstanten!$F$25+Konstanten!$H$25*($C35*$B35)^Konstanten!$G$25)</f>
        <v>11.996405902621035</v>
      </c>
      <c r="W35" s="153" t="str">
        <f>IF(U35="Spreizung zu hoch","Spreizung zu hoch",IF(U35="Spreizung zu niedrig","Spreizung zu niedrig",Iteration!BL25))</f>
        <v>feucht</v>
      </c>
      <c r="X35" s="152">
        <f t="shared" si="15"/>
        <v>2.2750255325694004</v>
      </c>
      <c r="Y35" s="154">
        <f t="shared" si="2"/>
        <v>0.53672111009111212</v>
      </c>
      <c r="Z35" s="428"/>
      <c r="AA35" s="149">
        <v>217.16325674015479</v>
      </c>
      <c r="AB35" s="150">
        <f>IF(AD35="Spreizung zu hoch","Spreizung zu hoch",IF(AD35="Spreizung zu niedrig","Spreizung zu niedrig",Iteration!CS25))</f>
        <v>1265.2919336945204</v>
      </c>
      <c r="AC35" s="150">
        <f>IF(AD35="Spreizung zu hoch","Spreizung zu hoch",IF(AD35="Spreizung zu niedrig","Spreizung zu niedrig",Iteration!CR25))</f>
        <v>930.67881387747025</v>
      </c>
      <c r="AD35" s="151">
        <f>IF(Iteration!CP25="RLT zu niedrig","Spreizung zu niedrig",IF(Iteration!CP25-Massenstromrechnung!$X$3&gt;8,"Spreizung zu hoch",Iteration!CP25))</f>
        <v>11.977818169540601</v>
      </c>
      <c r="AE35" s="147">
        <f>Konstanten!$C$26*(((($X$3+$U35)*Konstanten!$I$26+$X$4)/(Konstanten!$I$26+2))^Konstanten!$D$26*$C35^Konstanten!$E$26*ABS(AD35-$X$3)^Konstanten!$F$26+Konstanten!$H$26*($C35*$B35)^Konstanten!$G$26)</f>
        <v>12.409263439984542</v>
      </c>
      <c r="AF35" s="153" t="str">
        <f>IF(AD35="Spreizung zu hoch","Spreizung zu hoch",IF(AD35="Spreizung zu niedrig","Spreizung zu niedrig",Iteration!CQ25))</f>
        <v>feucht</v>
      </c>
      <c r="AG35" s="152">
        <f t="shared" si="16"/>
        <v>11.529771075606561</v>
      </c>
      <c r="AH35" s="154">
        <f t="shared" si="4"/>
        <v>0.53372052784288015</v>
      </c>
      <c r="AI35" s="428"/>
      <c r="AJ35" s="214">
        <v>325</v>
      </c>
      <c r="AK35" s="194">
        <v>21.078744062781084</v>
      </c>
      <c r="AL35" s="195">
        <v>29.078744062781084</v>
      </c>
      <c r="AM35" s="201">
        <v>8.4</v>
      </c>
      <c r="AN35" s="206">
        <v>99</v>
      </c>
      <c r="AO35" s="106"/>
    </row>
    <row r="36" spans="1:41" x14ac:dyDescent="0.3">
      <c r="B36" s="102">
        <v>1890</v>
      </c>
      <c r="C36" s="27">
        <v>315</v>
      </c>
      <c r="D36" s="442"/>
      <c r="E36" s="126">
        <v>20</v>
      </c>
      <c r="F36" s="161">
        <v>260.22040498742405</v>
      </c>
      <c r="G36" s="162">
        <f>(($K$3+H36)/2-$K$4)^Konstanten!$E$4*$B36*$C36^Konstanten!$F$4*($K$3-H36)^Konstanten!$G$4*(($K$3+H36)/2)^Konstanten!$H$4*(Konstanten!$C$4-(($K$3-H36)^Konstanten!$I$4*Konstanten!$D$4))</f>
        <v>3026.6765382690023</v>
      </c>
      <c r="H36" s="163">
        <f>Iteration!L26</f>
        <v>65</v>
      </c>
      <c r="I36" s="222">
        <f>Konstanten!$C$23*(((($K$3+$H36)*Konstanten!$I$23+$K$4)/(Konstanten!$I$23+2))^Konstanten!$D$23*$C36^Konstanten!$E$23*ABS($K$3-$H36)^Konstanten!$F$23+Konstanten!$H$23*($C36*$B36)^Konstanten!$G$23)</f>
        <v>68.857456955450786</v>
      </c>
      <c r="J36" s="220">
        <f>0.00015861*F36^1.7759</f>
        <v>3.0884122459033576</v>
      </c>
      <c r="K36" s="429"/>
      <c r="L36" s="161">
        <v>218.27987720896118</v>
      </c>
      <c r="M36" s="162">
        <f>(($K$3+N36)/2-$K$4)^Konstanten!$E$5*$B36*$C36^Konstanten!$F$5*($K$3-N36)^Konstanten!$G$5*(($K$3+N36)/2)^Konstanten!$H$5*(Konstanten!$C$5-(($K$3-N36)^Konstanten!$I$5*Konstanten!$D$5))</f>
        <v>2538.857716236857</v>
      </c>
      <c r="N36" s="163">
        <f>Iteration!AI26</f>
        <v>65</v>
      </c>
      <c r="O36" s="222">
        <f>Konstanten!$C$24*(((($K$3+$N36)*Konstanten!$I$24+$K$4)/(Konstanten!$I$24+2))^Konstanten!$D$24*$C36^Konstanten!$E$24*ABS($K$3-$N36)^Konstanten!$F$24+Konstanten!$H$24*($C36*$B36)^Konstanten!$G$24)</f>
        <v>61.352448350078753</v>
      </c>
      <c r="P36" s="164">
        <f t="shared" si="14"/>
        <v>9.7089816766977108</v>
      </c>
      <c r="Q36" s="432"/>
      <c r="R36" s="161">
        <v>115.39275998293974</v>
      </c>
      <c r="S36" s="162">
        <f>IF(U36="Spreizung zu hoch","Spreizung zu hoch",IF(U36="Spreizung zu niedrig","Spreizung zu niedrig",Iteration!BN26))</f>
        <v>671.3917543626817</v>
      </c>
      <c r="T36" s="162">
        <f>IF(U36="Spreizung zu hoch","Spreizung zu hoch",IF(U36="Spreizung zu niedrig","Spreizung zu niedrig",Iteration!BM26))</f>
        <v>484.51968848556106</v>
      </c>
      <c r="U36" s="163">
        <f>IF(Iteration!BK26="RLT zu niedrig","Spreizung zu niedrig",IF(Iteration!BK26-Massenstromrechnung!$X$3&gt;8,"Spreizung zu hoch",Iteration!BK26))</f>
        <v>11.993438965757955</v>
      </c>
      <c r="V36" s="222">
        <f>Konstanten!$C$25*(((($X$3+$U36)*Konstanten!$I$25+$X$4)/(Konstanten!$I$25+2))^Konstanten!$D$25*$C36^Konstanten!$E$25*ABS(U36-$X$3)^Konstanten!$F$25+Konstanten!$H$25*($C36*$B36)^Konstanten!$G$25)</f>
        <v>11.301810543330756</v>
      </c>
      <c r="W36" s="165" t="str">
        <f>IF(U36="Spreizung zu hoch","Spreizung zu hoch",IF(U36="Spreizung zu niedrig","Spreizung zu niedrig",Iteration!BL26))</f>
        <v>feucht</v>
      </c>
      <c r="X36" s="164">
        <f t="shared" si="15"/>
        <v>0.72870788964089062</v>
      </c>
      <c r="Y36" s="166">
        <f t="shared" si="2"/>
        <v>0.29806798279026775</v>
      </c>
      <c r="Z36" s="429"/>
      <c r="AA36" s="161">
        <v>115.56367896515496</v>
      </c>
      <c r="AB36" s="162">
        <f>IF(AD36="Spreizung zu hoch","Spreizung zu hoch",IF(AD36="Spreizung zu niedrig","Spreizung zu niedrig",Iteration!CS26))</f>
        <v>673.31668854248403</v>
      </c>
      <c r="AC36" s="162">
        <f>IF(AD36="Spreizung zu hoch","Spreizung zu hoch",IF(AD36="Spreizung zu niedrig","Spreizung zu niedrig",Iteration!CR26))</f>
        <v>485.75596560443353</v>
      </c>
      <c r="AD36" s="163">
        <f>IF(Iteration!CP26="RLT zu niedrig","Spreizung zu niedrig",IF(Iteration!CP26-Massenstromrechnung!$X$3&gt;8,"Spreizung zu hoch",Iteration!CP26))</f>
        <v>11.977969642890997</v>
      </c>
      <c r="AE36" s="222">
        <f>Konstanten!$C$26*(((($X$3+$U36)*Konstanten!$I$26+$X$4)/(Konstanten!$I$26+2))^Konstanten!$D$26*$C36^Konstanten!$E$26*ABS(AD36-$X$3)^Konstanten!$F$26+Konstanten!$H$26*($C36*$B36)^Konstanten!$G$26)</f>
        <v>11.54950480876494</v>
      </c>
      <c r="AF36" s="165" t="str">
        <f>IF(AD36="Spreizung zu hoch","Spreizung zu hoch",IF(AD36="Spreizung zu niedrig","Spreizung zu niedrig",Iteration!CQ26))</f>
        <v>feucht</v>
      </c>
      <c r="AG36" s="164">
        <f t="shared" si="16"/>
        <v>3.8506367797601535</v>
      </c>
      <c r="AH36" s="166">
        <f t="shared" si="4"/>
        <v>0.29916641673769689</v>
      </c>
      <c r="AI36" s="429"/>
      <c r="AJ36" s="215">
        <v>160</v>
      </c>
      <c r="AK36" s="196">
        <v>17.648322635767734</v>
      </c>
      <c r="AL36" s="197">
        <v>25.648322635767734</v>
      </c>
      <c r="AM36" s="203">
        <v>6.9</v>
      </c>
      <c r="AN36" s="207">
        <v>90</v>
      </c>
      <c r="AO36" s="106"/>
    </row>
    <row r="37" spans="1:41" x14ac:dyDescent="0.3">
      <c r="B37" s="102">
        <v>2520</v>
      </c>
      <c r="C37" s="27">
        <v>1205</v>
      </c>
      <c r="D37" s="435">
        <v>3000</v>
      </c>
      <c r="E37" s="192">
        <v>100</v>
      </c>
      <c r="F37" s="167">
        <v>1449.942835384109</v>
      </c>
      <c r="G37" s="168">
        <f>(($K$3+H37)/2-$K$4)^Konstanten!$E$4*$B37*$C37^Konstanten!$F$4*($K$3-H37)^Konstanten!$G$4*(($K$3+H37)/2)^Konstanten!$H$4*(Konstanten!$C$4-(($K$3-H37)^Konstanten!$I$4*Konstanten!$D$4))</f>
        <v>16864.580477078285</v>
      </c>
      <c r="H37" s="169">
        <f>Iteration!L27</f>
        <v>65</v>
      </c>
      <c r="I37" s="171">
        <f>Konstanten!$C$23*(((($K$3+$H37)*Konstanten!$I$23+$K$4)/(Konstanten!$I$23+2))^Konstanten!$D$23*$C37^Konstanten!$E$23*ABS($K$3-$H37)^Konstanten!$F$23+Konstanten!$H$23*($C37*$B37)^Konstanten!$G$23)</f>
        <v>58.892551942797319</v>
      </c>
      <c r="J37" s="221">
        <f>0.00017425*F37^1.7977</f>
        <v>84.010440972239579</v>
      </c>
      <c r="K37" s="427">
        <f>IF($N$3&gt;360,"max. 360 m³/h",1.2041*$N$3*($N$4-$K$4))</f>
        <v>0</v>
      </c>
      <c r="L37" s="167">
        <v>818.25332309601436</v>
      </c>
      <c r="M37" s="168">
        <f>(($K$3+N37)/2-$K$4)^Konstanten!$E$5*$B37*$C37^Konstanten!$F$5*($K$3-N37)^Konstanten!$G$5*(($K$3+N37)/2)^Konstanten!$H$5*(Konstanten!$C$5-(($K$3-N37)^Konstanten!$I$5*Konstanten!$D$5))</f>
        <v>9517.2710821622186</v>
      </c>
      <c r="N37" s="169">
        <f>Iteration!AI27</f>
        <v>65</v>
      </c>
      <c r="O37" s="171">
        <f>Konstanten!$C$24*(((($K$3+$N37)*Konstanten!$I$24+$K$4)/(Konstanten!$I$24+2))^Konstanten!$D$24*$C37^Konstanten!$E$24*ABS($K$3-$N37)^Konstanten!$F$24+Konstanten!$H$24*($C37*$B37)^Konstanten!$G$24)</f>
        <v>44.257544219780172</v>
      </c>
      <c r="P37" s="170">
        <f xml:space="preserve"> 0.00095493*L37^1.7569</f>
        <v>125.20569233526767</v>
      </c>
      <c r="Q37" s="433">
        <f>IF($N$3&gt;360,"max. 360 m³/h",1.2041*$N$3*($N$4-$K$4))</f>
        <v>0</v>
      </c>
      <c r="R37" s="167">
        <v>1022.957420171358</v>
      </c>
      <c r="S37" s="168">
        <f>IF(U37="Spreizung zu hoch","Spreizung zu hoch",IF(U37="Spreizung zu niedrig","Spreizung zu niedrig",Iteration!BN27))</f>
        <v>5951.9891388195711</v>
      </c>
      <c r="T37" s="168">
        <f>IF(U37="Spreizung zu hoch","Spreizung zu hoch",IF(U37="Spreizung zu niedrig","Spreizung zu niedrig",Iteration!BM27))</f>
        <v>4592.6674032694154</v>
      </c>
      <c r="U37" s="169">
        <f>IF(Iteration!BK27="RLT zu niedrig","Spreizung zu niedrig",IF(Iteration!BK27-Massenstromrechnung!$X$3&gt;8,"Spreizung zu hoch",Iteration!BK27))</f>
        <v>11.993237543432524</v>
      </c>
      <c r="V37" s="171">
        <f>Konstanten!$C$25*(((($X$3+$U37)*Konstanten!$I$25+$X$4)/(Konstanten!$I$25+2))^Konstanten!$D$25*$C37^Konstanten!$E$25*ABS(U37-$X$3)^Konstanten!$F$25+Konstanten!$H$25*($C37*$B37)^Konstanten!$G$25)</f>
        <v>13.490879285830383</v>
      </c>
      <c r="W37" s="171" t="str">
        <f>IF(U37="Spreizung zu hoch","Spreizung zu hoch",IF(U37="Spreizung zu niedrig","Spreizung zu niedrig",Iteration!BL27))</f>
        <v>feucht</v>
      </c>
      <c r="X37" s="170">
        <f>IF(U37="Spreizung zu hoch","Spreizung zu hoch",IF(U37="Spreizung zu niedrig","Spreizung zu niedrig",0.00017425*R37^1.7977))</f>
        <v>44.873889773658554</v>
      </c>
      <c r="Y37" s="172">
        <f t="shared" si="2"/>
        <v>2.1681693610901909</v>
      </c>
      <c r="Z37" s="427">
        <f>IF($AA$3&gt;360,"max. 360m³/h",1.2041*$AA$3*($X$4-$AA$4))</f>
        <v>0</v>
      </c>
      <c r="AA37" s="167">
        <v>993.79675720835075</v>
      </c>
      <c r="AB37" s="168">
        <f>IF(AD37="Spreizung zu hoch","Spreizung zu hoch",IF(AD37="Spreizung zu niedrig","Spreizung zu niedrig",Iteration!CS27))</f>
        <v>5790.5259587883957</v>
      </c>
      <c r="AC37" s="168">
        <f>IF(AD37="Spreizung zu hoch","Spreizung zu hoch",IF(AD37="Spreizung zu niedrig","Spreizung zu niedrig",Iteration!CR27))</f>
        <v>4462.4598591020103</v>
      </c>
      <c r="AD37" s="169">
        <f>IF(Iteration!CP27="RLT zu niedrig","Spreizung zu niedrig",IF(Iteration!CP27-Massenstromrechnung!$X$3&gt;8,"Spreizung zu hoch",Iteration!CP27))</f>
        <v>11.977437602341288</v>
      </c>
      <c r="AE37" s="171">
        <f>Konstanten!$C$26*(((($X$3+$U37)*Konstanten!$I$26+$X$4)/(Konstanten!$I$26+2))^Konstanten!$D$26*$C37^Konstanten!$E$26*ABS(AD37-$X$3)^Konstanten!$F$26+Konstanten!$H$26*($C37*$B37)^Konstanten!$G$26)</f>
        <v>14.327997757711058</v>
      </c>
      <c r="AF37" s="171" t="str">
        <f>IF(AD37="Spreizung zu hoch","Spreizung zu hoch",IF(AD37="Spreizung zu niedrig","Spreizung zu niedrig",Iteration!CQ27))</f>
        <v>feucht</v>
      </c>
      <c r="AG37" s="170">
        <f>IF(AD37="Spreizung zu hoch","Spreizung zu hoch",IF(AD37="Spreizung zu niedrig","Spreizung zu niedrig",0.00099843*AA37^1.7385))</f>
        <v>162.22562518057094</v>
      </c>
      <c r="AH37" s="172">
        <f t="shared" si="4"/>
        <v>2.1183154447811199</v>
      </c>
      <c r="AI37" s="427">
        <f>IF($AA$3&gt;360,"max. 360m³/h",1.2041*$AA$3*($X$4-$AA$4))</f>
        <v>0</v>
      </c>
      <c r="AJ37" s="216">
        <v>1295</v>
      </c>
      <c r="AK37" s="198">
        <v>46.966788154032749</v>
      </c>
      <c r="AL37" s="199">
        <v>54.966788154032749</v>
      </c>
      <c r="AM37" s="200">
        <v>60</v>
      </c>
      <c r="AN37" s="205">
        <v>534</v>
      </c>
      <c r="AO37" s="106"/>
    </row>
    <row r="38" spans="1:41" x14ac:dyDescent="0.3">
      <c r="B38" s="102">
        <v>2520</v>
      </c>
      <c r="C38" s="27">
        <v>985</v>
      </c>
      <c r="D38" s="436"/>
      <c r="E38" s="125">
        <v>80</v>
      </c>
      <c r="F38" s="149">
        <v>1169.5830829992926</v>
      </c>
      <c r="G38" s="150">
        <f>(($K$3+H38)/2-$K$4)^Konstanten!$E$4*$B38*$C38^Konstanten!$F$4*($K$3-H38)^Konstanten!$G$4*(($K$3+H38)/2)^Konstanten!$H$4*(Konstanten!$C$4-(($K$3-H38)^Konstanten!$I$4*Konstanten!$D$4))</f>
        <v>13603.659086770556</v>
      </c>
      <c r="H38" s="151">
        <f>Iteration!L28</f>
        <v>65</v>
      </c>
      <c r="I38" s="147">
        <f>Konstanten!$C$23*(((($K$3+$H38)*Konstanten!$I$23+$K$4)/(Konstanten!$I$23+2))^Konstanten!$D$23*$C38^Konstanten!$E$23*ABS($K$3-$H38)^Konstanten!$F$23+Konstanten!$H$23*($C38*$B38)^Konstanten!$G$23)</f>
        <v>60.285969234401627</v>
      </c>
      <c r="J38" s="219">
        <f>0.00017425*F38^1.7977</f>
        <v>57.091605428231297</v>
      </c>
      <c r="K38" s="428"/>
      <c r="L38" s="149">
        <v>700.53915257174856</v>
      </c>
      <c r="M38" s="150">
        <f>(($K$3+N38)/2-$K$4)^Konstanten!$E$5*$B38*$C38^Konstanten!$F$5*($K$3-N38)^Konstanten!$G$5*(($K$3+N38)/2)^Konstanten!$H$5*(Konstanten!$C$5-(($K$3-N38)^Konstanten!$I$5*Konstanten!$D$5))</f>
        <v>8148.1135859819688</v>
      </c>
      <c r="N38" s="151">
        <f>Iteration!AI28</f>
        <v>65</v>
      </c>
      <c r="O38" s="147">
        <f>Konstanten!$C$24*(((($K$3+$N38)*Konstanten!$I$24+$K$4)/(Konstanten!$I$24+2))^Konstanten!$D$24*$C38^Konstanten!$E$24*ABS($K$3-$N38)^Konstanten!$F$24+Konstanten!$H$24*($C38*$B38)^Konstanten!$G$24)</f>
        <v>46.221150009247488</v>
      </c>
      <c r="P38" s="152">
        <f t="shared" ref="P38:P41" si="17" xml:space="preserve"> 0.00095493*L38^1.7569</f>
        <v>95.304134818486503</v>
      </c>
      <c r="Q38" s="431"/>
      <c r="R38" s="149">
        <v>768.55006251578527</v>
      </c>
      <c r="S38" s="150">
        <f>IF(U38="Spreizung zu hoch","Spreizung zu hoch",IF(U38="Spreizung zu niedrig","Spreizung zu niedrig",Iteration!BN28))</f>
        <v>4471.7319517724991</v>
      </c>
      <c r="T38" s="150">
        <f>IF(U38="Spreizung zu hoch","Spreizung zu hoch",IF(U38="Spreizung zu niedrig","Spreizung zu niedrig",Iteration!BM28))</f>
        <v>3420.3811614430801</v>
      </c>
      <c r="U38" s="151">
        <f>IF(Iteration!BK28="RLT zu niedrig","Spreizung zu niedrig",IF(Iteration!BK28-Massenstromrechnung!$X$3&gt;8,"Spreizung zu hoch",Iteration!BK28))</f>
        <v>11.99326495994184</v>
      </c>
      <c r="V38" s="147">
        <f>Konstanten!$C$25*(((($X$3+$U38)*Konstanten!$I$25+$X$4)/(Konstanten!$I$25+2))^Konstanten!$D$25*$C38^Konstanten!$E$25*ABS(U38-$X$3)^Konstanten!$F$25+Konstanten!$H$25*($C38*$B38)^Konstanten!$G$25)</f>
        <v>13.136586275007316</v>
      </c>
      <c r="W38" s="153" t="str">
        <f>IF(U38="Spreizung zu hoch","Spreizung zu hoch",IF(U38="Spreizung zu niedrig","Spreizung zu niedrig",Iteration!BL28))</f>
        <v>feucht</v>
      </c>
      <c r="X38" s="152">
        <f t="shared" ref="X38:X41" si="18">IF(U38="Spreizung zu hoch","Spreizung zu hoch",IF(U38="Spreizung zu niedrig","Spreizung zu niedrig",0.00017425*R38^1.7977))</f>
        <v>26.837720942679503</v>
      </c>
      <c r="Y38" s="154">
        <f t="shared" si="2"/>
        <v>1.6769441050890155</v>
      </c>
      <c r="Z38" s="428"/>
      <c r="AA38" s="149">
        <v>750.0601864840711</v>
      </c>
      <c r="AB38" s="150">
        <f>IF(AD38="Spreizung zu hoch","Spreizung zu hoch",IF(AD38="Spreizung zu niedrig","Spreizung zu niedrig",Iteration!CS28))</f>
        <v>4370.3227250234104</v>
      </c>
      <c r="AC38" s="150">
        <f>IF(AD38="Spreizung zu hoch","Spreizung zu hoch",IF(AD38="Spreizung zu niedrig","Spreizung zu niedrig",Iteration!CR28))</f>
        <v>3339.0819196851016</v>
      </c>
      <c r="AD38" s="151">
        <f>IF(Iteration!CP28="RLT zu niedrig","Spreizung zu niedrig",IF(Iteration!CP28-Massenstromrechnung!$X$3&gt;8,"Spreizung zu hoch",Iteration!CP28))</f>
        <v>11.977509693669461</v>
      </c>
      <c r="AE38" s="147">
        <f>Konstanten!$C$26*(((($X$3+$U38)*Konstanten!$I$26+$X$4)/(Konstanten!$I$26+2))^Konstanten!$D$26*$C38^Konstanten!$E$26*ABS(AD38-$X$3)^Konstanten!$F$26+Konstanten!$H$26*($C38*$B38)^Konstanten!$G$26)</f>
        <v>13.857386184551926</v>
      </c>
      <c r="AF38" s="153" t="str">
        <f>IF(AD38="Spreizung zu hoch","Spreizung zu hoch",IF(AD38="Spreizung zu niedrig","Spreizung zu niedrig",Iteration!CQ28))</f>
        <v>feucht</v>
      </c>
      <c r="AG38" s="152">
        <f t="shared" ref="AG38:AG41" si="19">IF(AD38="Spreizung zu hoch","Spreizung zu hoch",IF(AD38="Spreizung zu niedrig","Spreizung zu niedrig",0.00099843*AA38^1.7385))</f>
        <v>99.465441626873528</v>
      </c>
      <c r="AH38" s="154">
        <f t="shared" si="4"/>
        <v>1.6448679216738644</v>
      </c>
      <c r="AI38" s="428"/>
      <c r="AJ38" s="214">
        <v>1030</v>
      </c>
      <c r="AK38" s="194">
        <v>40.557277472866254</v>
      </c>
      <c r="AL38" s="195">
        <v>48.557277472866254</v>
      </c>
      <c r="AM38" s="201">
        <v>33</v>
      </c>
      <c r="AN38" s="206">
        <v>312</v>
      </c>
      <c r="AO38" s="106"/>
    </row>
    <row r="39" spans="1:41" x14ac:dyDescent="0.3">
      <c r="B39" s="102">
        <v>2520</v>
      </c>
      <c r="C39" s="27">
        <v>735</v>
      </c>
      <c r="D39" s="436"/>
      <c r="E39" s="125">
        <v>60</v>
      </c>
      <c r="F39" s="149">
        <v>856.05952660870048</v>
      </c>
      <c r="G39" s="150">
        <f>(($K$3+H39)/2-$K$4)^Konstanten!$E$4*$B39*$C39^Konstanten!$F$4*($K$3-H39)^Konstanten!$G$4*(($K$3+H39)/2)^Konstanten!$H$4*(Konstanten!$C$4-(($K$3-H39)^Konstanten!$I$4*Konstanten!$D$4))</f>
        <v>9957.0027364819489</v>
      </c>
      <c r="H39" s="151">
        <f>Iteration!L29</f>
        <v>65</v>
      </c>
      <c r="I39" s="147">
        <f>Konstanten!$C$23*(((($K$3+$H39)*Konstanten!$I$23+$K$4)/(Konstanten!$I$23+2))^Konstanten!$D$23*$C39^Konstanten!$E$23*ABS($K$3-$H39)^Konstanten!$F$23+Konstanten!$H$23*($C39*$B39)^Konstanten!$G$23)</f>
        <v>62.379669572329668</v>
      </c>
      <c r="J39" s="219">
        <f>0.00017425*F39^1.7977</f>
        <v>32.578806035846064</v>
      </c>
      <c r="K39" s="428"/>
      <c r="L39" s="149">
        <v>559.07217651521</v>
      </c>
      <c r="M39" s="150">
        <f>(($K$3+N39)/2-$K$4)^Konstanten!$E$5*$B39*$C39^Konstanten!$F$5*($K$3-N39)^Konstanten!$G$5*(($K$3+N39)/2)^Konstanten!$H$5*(Konstanten!$C$5-(($K$3-N39)^Konstanten!$I$5*Konstanten!$D$5))</f>
        <v>6502.6823701213962</v>
      </c>
      <c r="N39" s="151">
        <f>Iteration!AI29</f>
        <v>65</v>
      </c>
      <c r="O39" s="147">
        <f>Konstanten!$C$24*(((($K$3+$N39)*Konstanten!$I$24+$K$4)/(Konstanten!$I$24+2))^Konstanten!$D$24*$C39^Konstanten!$E$24*ABS($K$3-$N39)^Konstanten!$F$24+Konstanten!$H$24*($C39*$B39)^Konstanten!$G$24)</f>
        <v>49.461869337576893</v>
      </c>
      <c r="P39" s="152">
        <f t="shared" si="17"/>
        <v>64.120640844892407</v>
      </c>
      <c r="Q39" s="431"/>
      <c r="R39" s="149">
        <v>507.36668948521026</v>
      </c>
      <c r="S39" s="150">
        <f>IF(U39="Spreizung zu hoch","Spreizung zu hoch",IF(U39="Spreizung zu niedrig","Spreizung zu niedrig",Iteration!BN29))</f>
        <v>2952.0530649804023</v>
      </c>
      <c r="T39" s="150">
        <f>IF(U39="Spreizung zu hoch","Spreizung zu hoch",IF(U39="Spreizung zu niedrig","Spreizung zu niedrig",Iteration!BM29))</f>
        <v>2229.4391541275345</v>
      </c>
      <c r="U39" s="151">
        <f>IF(Iteration!BK29="RLT zu niedrig","Spreizung zu niedrig",IF(Iteration!BK29-Massenstromrechnung!$X$3&gt;8,"Spreizung zu hoch",Iteration!BK29))</f>
        <v>11.993304214847376</v>
      </c>
      <c r="V39" s="147">
        <f>Konstanten!$C$25*(((($X$3+$U39)*Konstanten!$I$25+$X$4)/(Konstanten!$I$25+2))^Konstanten!$D$25*$C39^Konstanten!$E$25*ABS(U39-$X$3)^Konstanten!$F$25+Konstanten!$H$25*($C39*$B39)^Konstanten!$G$25)</f>
        <v>12.638587600207744</v>
      </c>
      <c r="W39" s="153" t="str">
        <f>IF(U39="Spreizung zu hoch","Spreizung zu hoch",IF(U39="Spreizung zu niedrig","Spreizung zu niedrig",Iteration!BL29))</f>
        <v>feucht</v>
      </c>
      <c r="X39" s="152">
        <f t="shared" si="18"/>
        <v>12.721257912976762</v>
      </c>
      <c r="Y39" s="154">
        <f t="shared" si="2"/>
        <v>1.1525964018920356</v>
      </c>
      <c r="Z39" s="428"/>
      <c r="AA39" s="149">
        <v>498.45626355850396</v>
      </c>
      <c r="AB39" s="150">
        <f>IF(AD39="Spreizung zu hoch","Spreizung zu hoch",IF(AD39="Spreizung zu niedrig","Spreizung zu niedrig",Iteration!CS29))</f>
        <v>2904.290770547459</v>
      </c>
      <c r="AC39" s="150">
        <f>IF(AD39="Spreizung zu hoch","Spreizung zu hoch",IF(AD39="Spreizung zu niedrig","Spreizung zu niedrig",Iteration!CR29))</f>
        <v>2191.3693794405326</v>
      </c>
      <c r="AD39" s="151">
        <f>IF(Iteration!CP29="RLT zu niedrig","Spreizung zu niedrig",IF(Iteration!CP29-Massenstromrechnung!$X$3&gt;8,"Spreizung zu hoch",Iteration!CP29))</f>
        <v>11.977613013286163</v>
      </c>
      <c r="AE39" s="147">
        <f>Konstanten!$C$26*(((($X$3+$U39)*Konstanten!$I$26+$X$4)/(Konstanten!$I$26+2))^Konstanten!$D$26*$C39^Konstanten!$E$26*ABS(AD39-$X$3)^Konstanten!$F$26+Konstanten!$H$26*($C39*$B39)^Konstanten!$G$26)</f>
        <v>13.205260121034021</v>
      </c>
      <c r="AF39" s="153" t="str">
        <f>IF(AD39="Spreizung zu hoch","Spreizung zu hoch",IF(AD39="Spreizung zu niedrig","Spreizung zu niedrig",Iteration!CQ29))</f>
        <v>feucht</v>
      </c>
      <c r="AG39" s="152">
        <f t="shared" si="19"/>
        <v>48.881245317057648</v>
      </c>
      <c r="AH39" s="154">
        <f t="shared" si="4"/>
        <v>1.1371364678710392</v>
      </c>
      <c r="AI39" s="428"/>
      <c r="AJ39" s="214">
        <v>725</v>
      </c>
      <c r="AK39" s="194">
        <v>31.432245947933481</v>
      </c>
      <c r="AL39" s="195">
        <v>39.432245947933481</v>
      </c>
      <c r="AM39" s="201">
        <v>18</v>
      </c>
      <c r="AN39" s="206">
        <v>186</v>
      </c>
      <c r="AO39" s="106"/>
    </row>
    <row r="40" spans="1:41" x14ac:dyDescent="0.3">
      <c r="B40" s="102">
        <v>2520</v>
      </c>
      <c r="C40" s="27">
        <v>495</v>
      </c>
      <c r="D40" s="436"/>
      <c r="E40" s="125">
        <v>40</v>
      </c>
      <c r="F40" s="149">
        <v>561.70614268166935</v>
      </c>
      <c r="G40" s="150">
        <f>(($K$3+H40)/2-$K$4)^Konstanten!$E$4*$B40*$C40^Konstanten!$F$4*($K$3-H40)^Konstanten!$G$4*(($K$3+H40)/2)^Konstanten!$H$4*(Konstanten!$C$4-(($K$3-H40)^Konstanten!$I$4*Konstanten!$D$4))</f>
        <v>6533.3185671521487</v>
      </c>
      <c r="H40" s="151">
        <f>Iteration!L30</f>
        <v>65</v>
      </c>
      <c r="I40" s="147">
        <f>Konstanten!$C$23*(((($K$3+$H40)*Konstanten!$I$23+$K$4)/(Konstanten!$I$23+2))^Konstanten!$D$23*$C40^Konstanten!$E$23*ABS($K$3-$H40)^Konstanten!$F$23+Konstanten!$H$23*($C40*$B40)^Konstanten!$G$23)</f>
        <v>65.343278904818746</v>
      </c>
      <c r="J40" s="219">
        <f>0.00017425*F40^1.7977</f>
        <v>15.274444594845519</v>
      </c>
      <c r="K40" s="428"/>
      <c r="L40" s="149">
        <v>412.27952684192672</v>
      </c>
      <c r="M40" s="150">
        <f>(($K$3+N40)/2-$K$4)^Konstanten!$E$5*$B40*$C40^Konstanten!$F$5*($K$3-N40)^Konstanten!$G$5*(($K$3+N40)/2)^Konstanten!$H$5*(Konstanten!$C$5-(($K$3-N40)^Konstanten!$I$5*Konstanten!$D$5))</f>
        <v>4795.3071595650254</v>
      </c>
      <c r="N40" s="151">
        <f>Iteration!AI30</f>
        <v>65</v>
      </c>
      <c r="O40" s="147">
        <f>Konstanten!$C$24*(((($K$3+$N40)*Konstanten!$I$24+$K$4)/(Konstanten!$I$24+2))^Konstanten!$D$24*$C40^Konstanten!$E$24*ABS($K$3-$N40)^Konstanten!$F$24+Konstanten!$H$24*($C40*$B40)^Konstanten!$G$24)</f>
        <v>54.65011356990766</v>
      </c>
      <c r="P40" s="152">
        <f t="shared" si="17"/>
        <v>37.549309593094677</v>
      </c>
      <c r="Q40" s="431"/>
      <c r="R40" s="149">
        <v>289.60750600196496</v>
      </c>
      <c r="S40" s="150">
        <f>IF(U40="Spreizung zu hoch","Spreizung zu hoch",IF(U40="Spreizung zu niedrig","Spreizung zu niedrig",Iteration!BN30))</f>
        <v>1685.0398754357643</v>
      </c>
      <c r="T40" s="150">
        <f>IF(U40="Spreizung zu hoch","Spreizung zu hoch",IF(U40="Spreizung zu niedrig","Spreizung zu niedrig",Iteration!BM30))</f>
        <v>1250.8742035888206</v>
      </c>
      <c r="U40" s="151">
        <f>IF(Iteration!BK30="RLT zu niedrig","Spreizung zu niedrig",IF(Iteration!BK30-Massenstromrechnung!$X$3&gt;8,"Spreizung zu hoch",Iteration!BK30))</f>
        <v>11.993356183037829</v>
      </c>
      <c r="V40" s="147">
        <f>Konstanten!$C$25*(((($X$3+$U40)*Konstanten!$I$25+$X$4)/(Konstanten!$I$25+2))^Konstanten!$D$25*$C40^Konstanten!$E$25*ABS(U40-$X$3)^Konstanten!$F$25+Konstanten!$H$25*($C40*$B40)^Konstanten!$G$25)</f>
        <v>11.996055679148</v>
      </c>
      <c r="W40" s="153" t="str">
        <f>IF(U40="Spreizung zu hoch","Spreizung zu hoch",IF(U40="Spreizung zu niedrig","Spreizung zu niedrig",Iteration!BL30))</f>
        <v>feucht</v>
      </c>
      <c r="X40" s="152">
        <f t="shared" si="18"/>
        <v>4.6426750624306479</v>
      </c>
      <c r="Y40" s="154">
        <f t="shared" si="2"/>
        <v>0.69251059754053934</v>
      </c>
      <c r="Z40" s="428"/>
      <c r="AA40" s="149">
        <v>287.0813840126952</v>
      </c>
      <c r="AB40" s="150">
        <f>IF(AD40="Spreizung zu hoch","Spreizung zu hoch",IF(AD40="Spreizung zu niedrig","Spreizung zu niedrig",Iteration!CS30))</f>
        <v>1672.6778132280638</v>
      </c>
      <c r="AC40" s="150">
        <f>IF(AD40="Spreizung zu hoch","Spreizung zu hoch",IF(AD40="Spreizung zu niedrig","Spreizung zu niedrig",Iteration!CR30))</f>
        <v>1240.9102125590844</v>
      </c>
      <c r="AD40" s="151">
        <f>IF(Iteration!CP30="RLT zu niedrig","Spreizung zu niedrig",IF(Iteration!CP30-Massenstromrechnung!$X$3&gt;8,"Spreizung zu hoch",Iteration!CP30))</f>
        <v>11.977749976237858</v>
      </c>
      <c r="AE40" s="147">
        <f>Konstanten!$C$26*(((($X$3+$U40)*Konstanten!$I$26+$X$4)/(Konstanten!$I$26+2))^Konstanten!$D$26*$C40^Konstanten!$E$26*ABS(AD40-$X$3)^Konstanten!$F$26+Konstanten!$H$26*($C40*$B40)^Konstanten!$G$26)</f>
        <v>12.381432996607252</v>
      </c>
      <c r="AF40" s="153" t="str">
        <f>IF(AD40="Spreizung zu hoch","Spreizung zu hoch",IF(AD40="Spreizung zu niedrig","Spreizung zu niedrig",Iteration!CQ30))</f>
        <v>feucht</v>
      </c>
      <c r="AG40" s="152">
        <f t="shared" si="19"/>
        <v>18.730931203501424</v>
      </c>
      <c r="AH40" s="154">
        <f t="shared" si="4"/>
        <v>0.68868558369885946</v>
      </c>
      <c r="AI40" s="428"/>
      <c r="AJ40" s="214">
        <v>435</v>
      </c>
      <c r="AK40" s="194">
        <v>22.204318165045532</v>
      </c>
      <c r="AL40" s="195">
        <v>30.204318165045532</v>
      </c>
      <c r="AM40" s="201">
        <v>11.7</v>
      </c>
      <c r="AN40" s="206">
        <v>138</v>
      </c>
      <c r="AO40" s="106"/>
    </row>
    <row r="41" spans="1:41" x14ac:dyDescent="0.3">
      <c r="A41" s="183"/>
      <c r="B41" s="184">
        <v>2520</v>
      </c>
      <c r="C41" s="185">
        <v>315</v>
      </c>
      <c r="D41" s="437"/>
      <c r="E41" s="193">
        <v>20</v>
      </c>
      <c r="F41" s="186">
        <v>346.96053998323202</v>
      </c>
      <c r="G41" s="187">
        <f>(($K$3+H41)/2-$K$4)^Konstanten!$E$4*$B41*$C41^Konstanten!$F$4*($K$3-H41)^Konstanten!$G$4*(($K$3+H41)/2)^Konstanten!$H$4*(Konstanten!$C$4-(($K$3-H41)^Konstanten!$I$4*Konstanten!$D$4))</f>
        <v>4035.5687176920023</v>
      </c>
      <c r="H41" s="188">
        <f>Iteration!L31</f>
        <v>65</v>
      </c>
      <c r="I41" s="238">
        <f>Konstanten!$C$23*(((($K$3+$H41)*Konstanten!$I$23+$K$4)/(Konstanten!$I$23+2))^Konstanten!$D$23*$C41^Konstanten!$E$23*ABS($K$3-$H41)^Konstanten!$F$23+Konstanten!$H$23*($C41*$B41)^Konstanten!$G$23)</f>
        <v>68.933387599975759</v>
      </c>
      <c r="J41" s="219">
        <f>0.00017425*F41^1.7977</f>
        <v>6.4244254765007964</v>
      </c>
      <c r="K41" s="430"/>
      <c r="L41" s="186">
        <v>291.03983627861493</v>
      </c>
      <c r="M41" s="187">
        <f>(($K$3+N41)/2-$K$4)^Konstanten!$E$5*$B41*$C41^Konstanten!$F$5*($K$3-N41)^Konstanten!$G$5*(($K$3+N41)/2)^Konstanten!$H$5*(Konstanten!$C$5-(($K$3-N41)^Konstanten!$I$5*Konstanten!$D$5))</f>
        <v>3385.1436216491425</v>
      </c>
      <c r="N41" s="188">
        <f>Iteration!AI31</f>
        <v>65</v>
      </c>
      <c r="O41" s="238">
        <f>Konstanten!$C$24*(((($K$3+$N41)*Konstanten!$I$24+$K$4)/(Konstanten!$I$24+2))^Konstanten!$D$24*$C41^Konstanten!$E$24*ABS($K$3-$N41)^Konstanten!$F$24+Konstanten!$H$24*($C41*$B41)^Konstanten!$G$24)</f>
        <v>61.894596381847535</v>
      </c>
      <c r="P41" s="189">
        <f t="shared" si="17"/>
        <v>20.365241973360327</v>
      </c>
      <c r="Q41" s="434"/>
      <c r="R41" s="186">
        <v>152.543683547759</v>
      </c>
      <c r="S41" s="187">
        <f>IF(U41="Spreizung zu hoch","Spreizung zu hoch",IF(U41="Spreizung zu niedrig","Spreizung zu niedrig",Iteration!BN31))</f>
        <v>887.54942558059554</v>
      </c>
      <c r="T41" s="187">
        <f>IF(U41="Spreizung zu hoch","Spreizung zu hoch",IF(U41="Spreizung zu niedrig","Spreizung zu niedrig",Iteration!BM31))</f>
        <v>646.02700968153329</v>
      </c>
      <c r="U41" s="188">
        <f>IF(Iteration!BK31="RLT zu niedrig","Spreizung zu niedrig",IF(Iteration!BK31-Massenstromrechnung!$X$3&gt;8,"Spreizung zu hoch",Iteration!BK31))</f>
        <v>11.993414178915227</v>
      </c>
      <c r="V41" s="238">
        <f>Konstanten!$C$25*(((($X$3+$U41)*Konstanten!$I$25+$X$4)/(Konstanten!$I$25+2))^Konstanten!$D$25*$C41^Konstanten!$E$25*ABS(U41-$X$3)^Konstanten!$F$25+Konstanten!$H$25*($C41*$B41)^Konstanten!$G$25)</f>
        <v>11.301437307862692</v>
      </c>
      <c r="W41" s="190" t="str">
        <f>IF(U41="Spreizung zu hoch","Spreizung zu hoch",IF(U41="Spreizung zu niedrig","Spreizung zu niedrig",Iteration!BL31))</f>
        <v>feucht</v>
      </c>
      <c r="X41" s="189">
        <f t="shared" si="18"/>
        <v>1.4664274878705812</v>
      </c>
      <c r="Y41" s="191">
        <f t="shared" si="2"/>
        <v>0.38523734924086139</v>
      </c>
      <c r="Z41" s="430"/>
      <c r="AA41" s="186">
        <v>152.76963269003483</v>
      </c>
      <c r="AB41" s="187">
        <f>IF(AD41="Spreizung zu hoch","Spreizung zu hoch",IF(AD41="Spreizung zu niedrig","Spreizung zu niedrig",Iteration!CS31))</f>
        <v>890.09805984254342</v>
      </c>
      <c r="AC41" s="187">
        <f>IF(AD41="Spreizung zu hoch","Spreizung zu hoch",IF(AD41="Spreizung zu niedrig","Spreizung zu niedrig",Iteration!CR31))</f>
        <v>647.67723324712858</v>
      </c>
      <c r="AD41" s="188">
        <f>IF(Iteration!CP31="RLT zu niedrig","Spreizung zu niedrig",IF(Iteration!CP31-Massenstromrechnung!$X$3&gt;8,"Spreizung zu hoch",Iteration!CP31))</f>
        <v>11.977903072685795</v>
      </c>
      <c r="AE41" s="238">
        <f>Konstanten!$C$26*(((($X$3+$U41)*Konstanten!$I$26+$X$4)/(Konstanten!$I$26+2))^Konstanten!$D$26*$C41^Konstanten!$E$26*ABS(AD41-$X$3)^Konstanten!$F$26+Konstanten!$H$26*($C41*$B41)^Konstanten!$G$26)</f>
        <v>11.515807180565426</v>
      </c>
      <c r="AF41" s="190" t="str">
        <f>IF(AD41="Spreizung zu hoch","Spreizung zu hoch",IF(AD41="Spreizung zu niedrig","Spreizung zu niedrig",Iteration!CQ31))</f>
        <v>feucht</v>
      </c>
      <c r="AG41" s="189">
        <f t="shared" si="19"/>
        <v>6.2555572957410872</v>
      </c>
      <c r="AH41" s="191">
        <f t="shared" si="4"/>
        <v>0.38667034813623991</v>
      </c>
      <c r="AI41" s="430"/>
      <c r="AJ41" s="217">
        <v>215</v>
      </c>
      <c r="AK41" s="210">
        <v>18.773896738032178</v>
      </c>
      <c r="AL41" s="211">
        <v>26.773896738032178</v>
      </c>
      <c r="AM41" s="212">
        <v>9.6</v>
      </c>
      <c r="AN41" s="213">
        <v>126</v>
      </c>
      <c r="AO41" s="106"/>
    </row>
    <row r="42" spans="1:41" s="106" customFormat="1" x14ac:dyDescent="0.3">
      <c r="F42" s="137"/>
      <c r="G42" s="137"/>
      <c r="H42" s="137"/>
      <c r="I42" s="137"/>
    </row>
    <row r="45" spans="1:41" hidden="1" x14ac:dyDescent="0.3">
      <c r="F45" s="105">
        <f>IF(AND(G12&gt;$H$3,AK12&lt;$H$4),1,0)</f>
        <v>0</v>
      </c>
      <c r="G45" s="105">
        <f>IF(AND(M12&gt;$H$3,AK12&lt;$H$4),1,0)</f>
        <v>0</v>
      </c>
      <c r="H45" s="105">
        <f>IF(AND(S12&gt;$U$3,T12&gt;$U$4,AK12&lt;$U$5),1,0)</f>
        <v>0</v>
      </c>
      <c r="J45">
        <f>IF(AND(AB12&gt;$U$3,AC12&gt;$U$4,AK12&lt;$U$5),1,0)</f>
        <v>0</v>
      </c>
    </row>
    <row r="46" spans="1:41" hidden="1" x14ac:dyDescent="0.3">
      <c r="F46" s="105">
        <f t="shared" ref="F46:F74" si="20">IF(AND(G13&gt;$H$3,AK13&lt;$H$4),1,0)</f>
        <v>0</v>
      </c>
      <c r="G46" s="105">
        <f t="shared" ref="G46:G74" si="21">IF(AND(M13&gt;$H$3,AK13&lt;$H$4),1,0)</f>
        <v>0</v>
      </c>
      <c r="H46" s="105">
        <f t="shared" ref="H46:H74" si="22">IF(AND(S13&gt;$U$3,T13&gt;$U$4,AK13&lt;$U$5),1,0)</f>
        <v>0</v>
      </c>
      <c r="J46">
        <f t="shared" ref="J46:J74" si="23">IF(AND(AB13&gt;$U$3,AC13&gt;$U$4,AK13&lt;$U$5),1,0)</f>
        <v>0</v>
      </c>
    </row>
    <row r="47" spans="1:41" hidden="1" x14ac:dyDescent="0.3">
      <c r="F47" s="105">
        <f t="shared" si="20"/>
        <v>0</v>
      </c>
      <c r="G47" s="105">
        <f t="shared" si="21"/>
        <v>0</v>
      </c>
      <c r="H47" s="105">
        <f t="shared" si="22"/>
        <v>0</v>
      </c>
      <c r="J47">
        <f t="shared" si="23"/>
        <v>0</v>
      </c>
    </row>
    <row r="48" spans="1:41" hidden="1" x14ac:dyDescent="0.3">
      <c r="F48" s="105">
        <f t="shared" si="20"/>
        <v>0</v>
      </c>
      <c r="G48" s="105">
        <f t="shared" si="21"/>
        <v>0</v>
      </c>
      <c r="H48" s="105">
        <f t="shared" si="22"/>
        <v>0</v>
      </c>
      <c r="J48">
        <f t="shared" si="23"/>
        <v>0</v>
      </c>
    </row>
    <row r="49" spans="6:10" hidden="1" x14ac:dyDescent="0.3">
      <c r="F49" s="105">
        <f t="shared" si="20"/>
        <v>0</v>
      </c>
      <c r="G49" s="105">
        <f t="shared" si="21"/>
        <v>0</v>
      </c>
      <c r="H49" s="105">
        <f t="shared" si="22"/>
        <v>0</v>
      </c>
      <c r="J49">
        <f t="shared" si="23"/>
        <v>0</v>
      </c>
    </row>
    <row r="50" spans="6:10" hidden="1" x14ac:dyDescent="0.3">
      <c r="F50" s="105">
        <f t="shared" si="20"/>
        <v>0</v>
      </c>
      <c r="G50" s="105">
        <f t="shared" si="21"/>
        <v>0</v>
      </c>
      <c r="H50" s="105">
        <f t="shared" si="22"/>
        <v>0</v>
      </c>
      <c r="J50">
        <f t="shared" si="23"/>
        <v>0</v>
      </c>
    </row>
    <row r="51" spans="6:10" hidden="1" x14ac:dyDescent="0.3">
      <c r="F51" s="105">
        <f t="shared" si="20"/>
        <v>0</v>
      </c>
      <c r="G51" s="105">
        <f t="shared" si="21"/>
        <v>0</v>
      </c>
      <c r="H51" s="105">
        <f t="shared" si="22"/>
        <v>0</v>
      </c>
      <c r="J51">
        <f t="shared" si="23"/>
        <v>0</v>
      </c>
    </row>
    <row r="52" spans="6:10" hidden="1" x14ac:dyDescent="0.3">
      <c r="F52" s="105">
        <f t="shared" si="20"/>
        <v>0</v>
      </c>
      <c r="G52" s="105">
        <f t="shared" si="21"/>
        <v>0</v>
      </c>
      <c r="H52" s="105">
        <f t="shared" si="22"/>
        <v>0</v>
      </c>
      <c r="J52">
        <f t="shared" si="23"/>
        <v>0</v>
      </c>
    </row>
    <row r="53" spans="6:10" hidden="1" x14ac:dyDescent="0.3">
      <c r="F53" s="105">
        <f t="shared" si="20"/>
        <v>0</v>
      </c>
      <c r="G53" s="105">
        <f t="shared" si="21"/>
        <v>0</v>
      </c>
      <c r="H53" s="105">
        <f t="shared" si="22"/>
        <v>0</v>
      </c>
      <c r="J53">
        <f t="shared" si="23"/>
        <v>0</v>
      </c>
    </row>
    <row r="54" spans="6:10" hidden="1" x14ac:dyDescent="0.3">
      <c r="F54" s="105">
        <f t="shared" si="20"/>
        <v>0</v>
      </c>
      <c r="G54" s="105">
        <f t="shared" si="21"/>
        <v>0</v>
      </c>
      <c r="H54" s="105">
        <f t="shared" si="22"/>
        <v>0</v>
      </c>
      <c r="J54">
        <f t="shared" si="23"/>
        <v>0</v>
      </c>
    </row>
    <row r="55" spans="6:10" hidden="1" x14ac:dyDescent="0.3">
      <c r="F55" s="105">
        <f t="shared" si="20"/>
        <v>0</v>
      </c>
      <c r="G55" s="105">
        <f t="shared" si="21"/>
        <v>0</v>
      </c>
      <c r="H55" s="105">
        <f t="shared" si="22"/>
        <v>0</v>
      </c>
      <c r="J55">
        <f t="shared" si="23"/>
        <v>0</v>
      </c>
    </row>
    <row r="56" spans="6:10" hidden="1" x14ac:dyDescent="0.3">
      <c r="F56" s="105">
        <f t="shared" si="20"/>
        <v>0</v>
      </c>
      <c r="G56" s="105">
        <f t="shared" si="21"/>
        <v>0</v>
      </c>
      <c r="H56" s="105">
        <f t="shared" si="22"/>
        <v>0</v>
      </c>
      <c r="J56">
        <f t="shared" si="23"/>
        <v>0</v>
      </c>
    </row>
    <row r="57" spans="6:10" hidden="1" x14ac:dyDescent="0.3">
      <c r="F57" s="105">
        <f t="shared" si="20"/>
        <v>0</v>
      </c>
      <c r="G57" s="105">
        <f t="shared" si="21"/>
        <v>0</v>
      </c>
      <c r="H57" s="105">
        <f t="shared" si="22"/>
        <v>0</v>
      </c>
      <c r="J57">
        <f t="shared" si="23"/>
        <v>0</v>
      </c>
    </row>
    <row r="58" spans="6:10" hidden="1" x14ac:dyDescent="0.3">
      <c r="F58" s="105">
        <f t="shared" si="20"/>
        <v>0</v>
      </c>
      <c r="G58" s="105">
        <f t="shared" si="21"/>
        <v>0</v>
      </c>
      <c r="H58" s="105">
        <f t="shared" si="22"/>
        <v>0</v>
      </c>
      <c r="J58">
        <f t="shared" si="23"/>
        <v>0</v>
      </c>
    </row>
    <row r="59" spans="6:10" hidden="1" x14ac:dyDescent="0.3">
      <c r="F59" s="105">
        <f t="shared" si="20"/>
        <v>0</v>
      </c>
      <c r="G59" s="105">
        <f t="shared" si="21"/>
        <v>0</v>
      </c>
      <c r="H59" s="105">
        <f t="shared" si="22"/>
        <v>0</v>
      </c>
      <c r="J59">
        <f t="shared" si="23"/>
        <v>0</v>
      </c>
    </row>
    <row r="60" spans="6:10" hidden="1" x14ac:dyDescent="0.3">
      <c r="F60" s="105">
        <f t="shared" si="20"/>
        <v>0</v>
      </c>
      <c r="G60" s="105">
        <f t="shared" si="21"/>
        <v>0</v>
      </c>
      <c r="H60" s="105">
        <f t="shared" si="22"/>
        <v>0</v>
      </c>
      <c r="J60">
        <f t="shared" si="23"/>
        <v>0</v>
      </c>
    </row>
    <row r="61" spans="6:10" hidden="1" x14ac:dyDescent="0.3">
      <c r="F61" s="105">
        <f t="shared" si="20"/>
        <v>0</v>
      </c>
      <c r="G61" s="105">
        <f t="shared" si="21"/>
        <v>0</v>
      </c>
      <c r="H61" s="105">
        <f t="shared" si="22"/>
        <v>0</v>
      </c>
      <c r="J61">
        <f t="shared" si="23"/>
        <v>0</v>
      </c>
    </row>
    <row r="62" spans="6:10" hidden="1" x14ac:dyDescent="0.3">
      <c r="F62" s="105">
        <f t="shared" si="20"/>
        <v>0</v>
      </c>
      <c r="G62" s="105">
        <f t="shared" si="21"/>
        <v>0</v>
      </c>
      <c r="H62" s="105">
        <f t="shared" si="22"/>
        <v>0</v>
      </c>
      <c r="J62">
        <f t="shared" si="23"/>
        <v>0</v>
      </c>
    </row>
    <row r="63" spans="6:10" hidden="1" x14ac:dyDescent="0.3">
      <c r="F63" s="105">
        <f t="shared" si="20"/>
        <v>0</v>
      </c>
      <c r="G63" s="105">
        <f t="shared" si="21"/>
        <v>0</v>
      </c>
      <c r="H63" s="105">
        <f t="shared" si="22"/>
        <v>0</v>
      </c>
      <c r="J63">
        <f t="shared" si="23"/>
        <v>0</v>
      </c>
    </row>
    <row r="64" spans="6:10" hidden="1" x14ac:dyDescent="0.3">
      <c r="F64" s="105">
        <f t="shared" si="20"/>
        <v>0</v>
      </c>
      <c r="G64" s="105">
        <f t="shared" si="21"/>
        <v>0</v>
      </c>
      <c r="H64" s="105">
        <f t="shared" si="22"/>
        <v>0</v>
      </c>
      <c r="J64">
        <f t="shared" si="23"/>
        <v>0</v>
      </c>
    </row>
    <row r="65" spans="6:10" hidden="1" x14ac:dyDescent="0.3">
      <c r="F65" s="105">
        <f t="shared" si="20"/>
        <v>0</v>
      </c>
      <c r="G65" s="105">
        <f t="shared" si="21"/>
        <v>0</v>
      </c>
      <c r="H65" s="105">
        <f t="shared" si="22"/>
        <v>0</v>
      </c>
      <c r="J65">
        <f t="shared" si="23"/>
        <v>0</v>
      </c>
    </row>
    <row r="66" spans="6:10" hidden="1" x14ac:dyDescent="0.3">
      <c r="F66" s="105">
        <f t="shared" si="20"/>
        <v>0</v>
      </c>
      <c r="G66" s="105">
        <f t="shared" si="21"/>
        <v>0</v>
      </c>
      <c r="H66" s="105">
        <f t="shared" si="22"/>
        <v>0</v>
      </c>
      <c r="J66">
        <f t="shared" si="23"/>
        <v>0</v>
      </c>
    </row>
    <row r="67" spans="6:10" hidden="1" x14ac:dyDescent="0.3">
      <c r="F67" s="105">
        <f t="shared" si="20"/>
        <v>0</v>
      </c>
      <c r="G67" s="105">
        <f t="shared" si="21"/>
        <v>0</v>
      </c>
      <c r="H67" s="105">
        <f t="shared" si="22"/>
        <v>0</v>
      </c>
      <c r="J67">
        <f t="shared" si="23"/>
        <v>0</v>
      </c>
    </row>
    <row r="68" spans="6:10" hidden="1" x14ac:dyDescent="0.3">
      <c r="F68" s="105">
        <f t="shared" si="20"/>
        <v>0</v>
      </c>
      <c r="G68" s="105">
        <f t="shared" si="21"/>
        <v>0</v>
      </c>
      <c r="H68" s="105">
        <f t="shared" si="22"/>
        <v>0</v>
      </c>
      <c r="J68">
        <f t="shared" si="23"/>
        <v>0</v>
      </c>
    </row>
    <row r="69" spans="6:10" hidden="1" x14ac:dyDescent="0.3">
      <c r="F69" s="105">
        <f t="shared" si="20"/>
        <v>0</v>
      </c>
      <c r="G69" s="105">
        <f t="shared" si="21"/>
        <v>0</v>
      </c>
      <c r="H69" s="105">
        <f t="shared" si="22"/>
        <v>0</v>
      </c>
      <c r="J69">
        <f t="shared" si="23"/>
        <v>0</v>
      </c>
    </row>
    <row r="70" spans="6:10" hidden="1" x14ac:dyDescent="0.3">
      <c r="F70" s="105">
        <f t="shared" si="20"/>
        <v>0</v>
      </c>
      <c r="G70" s="105">
        <f t="shared" si="21"/>
        <v>0</v>
      </c>
      <c r="H70" s="105">
        <f t="shared" si="22"/>
        <v>0</v>
      </c>
      <c r="J70">
        <f t="shared" si="23"/>
        <v>0</v>
      </c>
    </row>
    <row r="71" spans="6:10" hidden="1" x14ac:dyDescent="0.3">
      <c r="F71" s="105">
        <f t="shared" si="20"/>
        <v>0</v>
      </c>
      <c r="G71" s="105">
        <f t="shared" si="21"/>
        <v>0</v>
      </c>
      <c r="H71" s="105">
        <f t="shared" si="22"/>
        <v>0</v>
      </c>
      <c r="J71">
        <f t="shared" si="23"/>
        <v>0</v>
      </c>
    </row>
    <row r="72" spans="6:10" hidden="1" x14ac:dyDescent="0.3">
      <c r="F72" s="105">
        <f t="shared" si="20"/>
        <v>0</v>
      </c>
      <c r="G72" s="105">
        <f t="shared" si="21"/>
        <v>0</v>
      </c>
      <c r="H72" s="105">
        <f t="shared" si="22"/>
        <v>0</v>
      </c>
      <c r="J72">
        <f t="shared" si="23"/>
        <v>0</v>
      </c>
    </row>
    <row r="73" spans="6:10" hidden="1" x14ac:dyDescent="0.3">
      <c r="F73" s="105">
        <f t="shared" si="20"/>
        <v>0</v>
      </c>
      <c r="G73" s="105">
        <f t="shared" si="21"/>
        <v>0</v>
      </c>
      <c r="H73" s="105">
        <f t="shared" si="22"/>
        <v>0</v>
      </c>
      <c r="J73">
        <f t="shared" si="23"/>
        <v>0</v>
      </c>
    </row>
    <row r="74" spans="6:10" hidden="1" x14ac:dyDescent="0.3">
      <c r="F74" s="105">
        <f t="shared" si="20"/>
        <v>0</v>
      </c>
      <c r="G74" s="105">
        <f t="shared" si="21"/>
        <v>0</v>
      </c>
      <c r="H74" s="105">
        <f t="shared" si="22"/>
        <v>0</v>
      </c>
      <c r="J74">
        <f t="shared" si="23"/>
        <v>0</v>
      </c>
    </row>
    <row r="75" spans="6:10" hidden="1" x14ac:dyDescent="0.3">
      <c r="J75" s="105"/>
    </row>
    <row r="76" spans="6:10" hidden="1" x14ac:dyDescent="0.3">
      <c r="J76" s="105"/>
    </row>
  </sheetData>
  <mergeCells count="51">
    <mergeCell ref="D37:D41"/>
    <mergeCell ref="AJ10:AN10"/>
    <mergeCell ref="I3:J3"/>
    <mergeCell ref="I4:J4"/>
    <mergeCell ref="L3:M3"/>
    <mergeCell ref="L4:M4"/>
    <mergeCell ref="Y3:Z3"/>
    <mergeCell ref="Y4:Z4"/>
    <mergeCell ref="V3:W3"/>
    <mergeCell ref="V4:W4"/>
    <mergeCell ref="V5:W5"/>
    <mergeCell ref="D12:D16"/>
    <mergeCell ref="D17:D21"/>
    <mergeCell ref="D22:D26"/>
    <mergeCell ref="D27:D31"/>
    <mergeCell ref="D32:D36"/>
    <mergeCell ref="Z37:Z41"/>
    <mergeCell ref="AI12:AI16"/>
    <mergeCell ref="AI17:AI21"/>
    <mergeCell ref="AI22:AI26"/>
    <mergeCell ref="AI27:AI31"/>
    <mergeCell ref="AI32:AI36"/>
    <mergeCell ref="AI37:AI41"/>
    <mergeCell ref="Z12:Z16"/>
    <mergeCell ref="Z17:Z21"/>
    <mergeCell ref="Z22:Z26"/>
    <mergeCell ref="Z27:Z31"/>
    <mergeCell ref="Z32:Z36"/>
    <mergeCell ref="K37:K41"/>
    <mergeCell ref="Q12:Q16"/>
    <mergeCell ref="Q17:Q21"/>
    <mergeCell ref="Q22:Q26"/>
    <mergeCell ref="Q27:Q31"/>
    <mergeCell ref="Q32:Q36"/>
    <mergeCell ref="Q37:Q41"/>
    <mergeCell ref="K12:K16"/>
    <mergeCell ref="K17:K21"/>
    <mergeCell ref="K22:K26"/>
    <mergeCell ref="K27:K31"/>
    <mergeCell ref="AA10:AI10"/>
    <mergeCell ref="S4:T4"/>
    <mergeCell ref="S5:T5"/>
    <mergeCell ref="S3:T3"/>
    <mergeCell ref="K32:K36"/>
    <mergeCell ref="S1:S2"/>
    <mergeCell ref="F1:G2"/>
    <mergeCell ref="F10:K10"/>
    <mergeCell ref="L10:Q10"/>
    <mergeCell ref="F3:G3"/>
    <mergeCell ref="F4:G4"/>
    <mergeCell ref="R10:Z10"/>
  </mergeCells>
  <conditionalFormatting sqref="G12:I41">
    <cfRule type="expression" dxfId="6" priority="5">
      <formula>$F45=1</formula>
    </cfRule>
  </conditionalFormatting>
  <conditionalFormatting sqref="J12:J41">
    <cfRule type="expression" dxfId="5" priority="1">
      <formula>$F44=1</formula>
    </cfRule>
  </conditionalFormatting>
  <conditionalFormatting sqref="M12:P41">
    <cfRule type="expression" dxfId="4" priority="4">
      <formula>$G45=1</formula>
    </cfRule>
  </conditionalFormatting>
  <conditionalFormatting sqref="S12:Y41">
    <cfRule type="expression" dxfId="3" priority="3">
      <formula>$H45=1</formula>
    </cfRule>
  </conditionalFormatting>
  <conditionalFormatting sqref="U8:V8">
    <cfRule type="expression" dxfId="2" priority="6">
      <formula>$F45=1</formula>
    </cfRule>
  </conditionalFormatting>
  <conditionalFormatting sqref="AB12:AH42">
    <cfRule type="expression" dxfId="1" priority="2">
      <formula>$J45=1</formula>
    </cfRule>
  </conditionalFormatting>
  <pageMargins left="0.7" right="0.7" top="0.78740157499999996" bottom="0.78740157499999996" header="0.3" footer="0.3"/>
  <pageSetup paperSize="9" orientation="portrait" horizontalDpi="300" verticalDpi="300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18293-4E32-457F-B99F-B4A18AA89273}">
  <dimension ref="A1:G19"/>
  <sheetViews>
    <sheetView workbookViewId="0">
      <selection activeCell="E14" sqref="E14"/>
    </sheetView>
  </sheetViews>
  <sheetFormatPr baseColWidth="10" defaultColWidth="0" defaultRowHeight="14.4" zeroHeight="1" x14ac:dyDescent="0.3"/>
  <cols>
    <col min="1" max="2" width="11.44140625" customWidth="1"/>
    <col min="3" max="3" width="12.109375" customWidth="1"/>
    <col min="4" max="4" width="12.44140625" customWidth="1"/>
    <col min="5" max="5" width="35.5546875" bestFit="1" customWidth="1"/>
    <col min="6" max="6" width="29" customWidth="1"/>
    <col min="7" max="7" width="11.44140625" customWidth="1"/>
    <col min="8" max="16384" width="11.44140625" hidden="1"/>
  </cols>
  <sheetData>
    <row r="1" spans="1:7" ht="15" customHeight="1" x14ac:dyDescent="0.3">
      <c r="A1" s="106"/>
      <c r="B1" s="443" t="s">
        <v>81</v>
      </c>
      <c r="C1" s="443"/>
      <c r="D1" s="443"/>
      <c r="E1" s="443"/>
      <c r="F1" s="443"/>
      <c r="G1" s="106"/>
    </row>
    <row r="2" spans="1:7" ht="21" customHeight="1" x14ac:dyDescent="0.3">
      <c r="A2" s="106"/>
      <c r="B2" s="443"/>
      <c r="C2" s="443"/>
      <c r="D2" s="443"/>
      <c r="E2" s="443"/>
      <c r="F2" s="443"/>
      <c r="G2" s="106"/>
    </row>
    <row r="3" spans="1:7" ht="21" customHeight="1" x14ac:dyDescent="0.3">
      <c r="A3" s="106"/>
      <c r="B3" s="241" t="s">
        <v>82</v>
      </c>
      <c r="C3" s="445" t="s">
        <v>83</v>
      </c>
      <c r="D3" s="445"/>
      <c r="E3" s="241" t="s">
        <v>84</v>
      </c>
      <c r="F3" s="236" t="s">
        <v>85</v>
      </c>
      <c r="G3" s="106"/>
    </row>
    <row r="4" spans="1:7" ht="15.6" x14ac:dyDescent="0.35">
      <c r="A4" s="106"/>
      <c r="B4" s="227" t="s">
        <v>64</v>
      </c>
      <c r="C4" s="233" t="s">
        <v>86</v>
      </c>
      <c r="D4" s="233"/>
      <c r="F4" s="27" t="s">
        <v>87</v>
      </c>
      <c r="G4" s="106"/>
    </row>
    <row r="5" spans="1:7" ht="15.6" x14ac:dyDescent="0.3">
      <c r="A5" s="106"/>
      <c r="B5" s="228" t="s">
        <v>68</v>
      </c>
      <c r="C5" s="234" t="s">
        <v>88</v>
      </c>
      <c r="D5" s="234"/>
      <c r="E5" t="s">
        <v>89</v>
      </c>
      <c r="F5" s="27" t="s">
        <v>87</v>
      </c>
      <c r="G5" s="106"/>
    </row>
    <row r="6" spans="1:7" ht="15.6" x14ac:dyDescent="0.3">
      <c r="A6" s="106"/>
      <c r="B6" s="229" t="s">
        <v>69</v>
      </c>
      <c r="C6" s="234" t="s">
        <v>90</v>
      </c>
      <c r="D6" s="234"/>
      <c r="F6" s="27" t="s">
        <v>87</v>
      </c>
      <c r="G6" s="106"/>
    </row>
    <row r="7" spans="1:7" ht="15.6" x14ac:dyDescent="0.3">
      <c r="A7" s="106"/>
      <c r="B7" s="229" t="s">
        <v>70</v>
      </c>
      <c r="C7" s="234" t="s">
        <v>91</v>
      </c>
      <c r="D7" s="234"/>
      <c r="F7" s="27" t="s">
        <v>87</v>
      </c>
      <c r="G7" s="106"/>
    </row>
    <row r="8" spans="1:7" ht="15.6" x14ac:dyDescent="0.3">
      <c r="A8" s="106"/>
      <c r="B8" s="228" t="s">
        <v>72</v>
      </c>
      <c r="C8" s="234" t="s">
        <v>92</v>
      </c>
      <c r="D8" s="234"/>
      <c r="E8" t="s">
        <v>93</v>
      </c>
      <c r="F8" s="27" t="s">
        <v>87</v>
      </c>
      <c r="G8" s="106"/>
    </row>
    <row r="9" spans="1:7" ht="15.6" x14ac:dyDescent="0.35">
      <c r="A9" s="106"/>
      <c r="B9" s="230" t="s">
        <v>79</v>
      </c>
      <c r="C9" s="234" t="s">
        <v>8</v>
      </c>
      <c r="D9" s="234"/>
      <c r="F9" s="27" t="s">
        <v>94</v>
      </c>
      <c r="G9" s="106"/>
    </row>
    <row r="10" spans="1:7" ht="15.6" x14ac:dyDescent="0.35">
      <c r="A10" s="106"/>
      <c r="B10" s="230" t="s">
        <v>65</v>
      </c>
      <c r="C10" s="234" t="s">
        <v>43</v>
      </c>
      <c r="D10" s="234"/>
      <c r="F10" s="27" t="s">
        <v>94</v>
      </c>
      <c r="G10" s="106"/>
    </row>
    <row r="11" spans="1:7" ht="15.6" x14ac:dyDescent="0.35">
      <c r="A11" s="106"/>
      <c r="B11" s="230" t="s">
        <v>66</v>
      </c>
      <c r="C11" s="234" t="s">
        <v>95</v>
      </c>
      <c r="D11" s="234"/>
      <c r="E11" t="s">
        <v>96</v>
      </c>
      <c r="F11" s="27" t="s">
        <v>97</v>
      </c>
      <c r="G11" s="106"/>
    </row>
    <row r="12" spans="1:7" ht="15.6" x14ac:dyDescent="0.35">
      <c r="A12" s="106"/>
      <c r="B12" s="231" t="s">
        <v>98</v>
      </c>
      <c r="C12" s="234" t="s">
        <v>99</v>
      </c>
      <c r="D12" s="234"/>
      <c r="E12" t="s">
        <v>40</v>
      </c>
      <c r="F12" s="27" t="s">
        <v>100</v>
      </c>
      <c r="G12" s="106"/>
    </row>
    <row r="13" spans="1:7" ht="15.6" x14ac:dyDescent="0.35">
      <c r="A13" s="106"/>
      <c r="B13" s="231" t="s">
        <v>67</v>
      </c>
      <c r="C13" s="234" t="s">
        <v>101</v>
      </c>
      <c r="D13" s="234"/>
      <c r="F13" s="27" t="s">
        <v>102</v>
      </c>
      <c r="G13" s="106"/>
    </row>
    <row r="14" spans="1:7" ht="16.2" x14ac:dyDescent="0.3">
      <c r="A14" s="106"/>
      <c r="B14" s="231" t="s">
        <v>73</v>
      </c>
      <c r="C14" s="234" t="s">
        <v>103</v>
      </c>
      <c r="D14" s="234"/>
      <c r="F14" s="237" t="s">
        <v>104</v>
      </c>
      <c r="G14" s="106"/>
    </row>
    <row r="15" spans="1:7" ht="15.6" x14ac:dyDescent="0.35">
      <c r="A15" s="106"/>
      <c r="B15" s="231" t="s">
        <v>74</v>
      </c>
      <c r="C15" s="234" t="s">
        <v>105</v>
      </c>
      <c r="D15" s="234"/>
      <c r="F15" s="27" t="s">
        <v>106</v>
      </c>
      <c r="G15" s="106"/>
    </row>
    <row r="16" spans="1:7" ht="15.6" x14ac:dyDescent="0.35">
      <c r="A16" s="106"/>
      <c r="B16" s="231" t="s">
        <v>75</v>
      </c>
      <c r="C16" s="234" t="s">
        <v>107</v>
      </c>
      <c r="D16" s="234"/>
      <c r="F16" s="27" t="s">
        <v>106</v>
      </c>
      <c r="G16" s="106"/>
    </row>
    <row r="17" spans="1:7" ht="18" customHeight="1" x14ac:dyDescent="0.3">
      <c r="A17" s="106"/>
      <c r="B17" s="231" t="s">
        <v>76</v>
      </c>
      <c r="C17" s="234" t="s">
        <v>108</v>
      </c>
      <c r="D17" s="234"/>
      <c r="E17" t="s">
        <v>109</v>
      </c>
      <c r="F17" s="27" t="s">
        <v>110</v>
      </c>
      <c r="G17" s="106"/>
    </row>
    <row r="18" spans="1:7" ht="18" customHeight="1" x14ac:dyDescent="0.3">
      <c r="A18" s="106"/>
      <c r="B18" s="232" t="s">
        <v>77</v>
      </c>
      <c r="C18" s="235" t="s">
        <v>111</v>
      </c>
      <c r="D18" s="235"/>
      <c r="E18" t="s">
        <v>112</v>
      </c>
      <c r="F18" s="27" t="s">
        <v>113</v>
      </c>
      <c r="G18" s="106"/>
    </row>
    <row r="19" spans="1:7" x14ac:dyDescent="0.3">
      <c r="A19" s="106"/>
      <c r="B19" s="444"/>
      <c r="C19" s="444"/>
      <c r="D19" s="444"/>
      <c r="E19" s="444"/>
      <c r="F19" s="106"/>
      <c r="G19" s="106"/>
    </row>
  </sheetData>
  <mergeCells count="3">
    <mergeCell ref="B1:F2"/>
    <mergeCell ref="B19:E19"/>
    <mergeCell ref="C3:D3"/>
  </mergeCells>
  <pageMargins left="0.7" right="0.7" top="0.78740157499999996" bottom="0.78740157499999996" header="0.3" footer="0.3"/>
  <pageSetup paperSize="9" orientation="portrait" horizontalDpi="300" verticalDpi="300" r:id="rId1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79"/>
  <sheetViews>
    <sheetView topLeftCell="B1" workbookViewId="0">
      <pane ySplit="7" topLeftCell="A8" activePane="bottomLeft" state="frozen"/>
      <selection activeCell="B2" sqref="B2"/>
      <selection pane="bottomLeft" activeCell="N24" sqref="N24"/>
    </sheetView>
  </sheetViews>
  <sheetFormatPr baseColWidth="10" defaultColWidth="11.44140625" defaultRowHeight="14.4" x14ac:dyDescent="0.3"/>
  <cols>
    <col min="1" max="1" width="12.44140625" hidden="1" customWidth="1"/>
    <col min="2" max="2" width="12" bestFit="1" customWidth="1"/>
    <col min="3" max="3" width="6" bestFit="1" customWidth="1"/>
    <col min="4" max="4" width="8.88671875" style="27" hidden="1" customWidth="1"/>
    <col min="7" max="7" width="9.5546875" customWidth="1"/>
    <col min="9" max="9" width="0" hidden="1" customWidth="1"/>
    <col min="10" max="10" width="11.5546875" hidden="1" customWidth="1"/>
    <col min="11" max="12" width="0" hidden="1" customWidth="1"/>
    <col min="19" max="19" width="12.44140625" hidden="1" customWidth="1"/>
    <col min="20" max="21" width="0" hidden="1" customWidth="1"/>
    <col min="22" max="22" width="10.109375" hidden="1" customWidth="1"/>
    <col min="23" max="24" width="10.88671875" hidden="1" customWidth="1"/>
    <col min="25" max="25" width="11.44140625" hidden="1" customWidth="1"/>
    <col min="26" max="27" width="11.44140625" style="27"/>
    <col min="29" max="29" width="0" hidden="1" customWidth="1"/>
  </cols>
  <sheetData>
    <row r="1" spans="1:29" hidden="1" x14ac:dyDescent="0.3"/>
    <row r="2" spans="1:29" x14ac:dyDescent="0.3">
      <c r="E2" s="59" t="s">
        <v>114</v>
      </c>
      <c r="F2" s="59" t="s">
        <v>115</v>
      </c>
      <c r="G2" s="59" t="s">
        <v>116</v>
      </c>
      <c r="I2" s="59" t="s">
        <v>114</v>
      </c>
      <c r="J2" s="59" t="s">
        <v>115</v>
      </c>
      <c r="K2" s="59" t="s">
        <v>116</v>
      </c>
      <c r="M2" s="59" t="s">
        <v>114</v>
      </c>
      <c r="N2" s="59" t="s">
        <v>115</v>
      </c>
      <c r="O2" s="59" t="s">
        <v>116</v>
      </c>
      <c r="P2" s="59" t="s">
        <v>117</v>
      </c>
      <c r="S2" s="59" t="s">
        <v>114</v>
      </c>
      <c r="T2" s="59" t="s">
        <v>115</v>
      </c>
      <c r="U2" s="59" t="s">
        <v>116</v>
      </c>
      <c r="V2" s="59" t="s">
        <v>117</v>
      </c>
    </row>
    <row r="3" spans="1:29" x14ac:dyDescent="0.3">
      <c r="E3" s="61">
        <v>60</v>
      </c>
      <c r="F3" s="61">
        <v>50</v>
      </c>
      <c r="G3" s="61">
        <v>20</v>
      </c>
      <c r="H3" s="60"/>
      <c r="I3" s="61">
        <v>60</v>
      </c>
      <c r="J3" s="61">
        <v>45</v>
      </c>
      <c r="K3" s="61">
        <v>21</v>
      </c>
      <c r="L3" s="60"/>
      <c r="M3" s="61">
        <v>6</v>
      </c>
      <c r="N3" s="61">
        <v>13</v>
      </c>
      <c r="O3" s="61">
        <v>26</v>
      </c>
      <c r="P3" s="62">
        <v>50</v>
      </c>
      <c r="Q3" s="27"/>
      <c r="R3" s="27"/>
      <c r="S3" s="61">
        <v>16</v>
      </c>
      <c r="T3" s="61">
        <v>18</v>
      </c>
      <c r="U3" s="61">
        <v>27</v>
      </c>
      <c r="V3" s="62">
        <v>48</v>
      </c>
    </row>
    <row r="4" spans="1:29" hidden="1" x14ac:dyDescent="0.3">
      <c r="F4">
        <f>E3-F3</f>
        <v>10</v>
      </c>
      <c r="J4">
        <f>I3-J3</f>
        <v>15</v>
      </c>
      <c r="N4">
        <f>N3-M3</f>
        <v>7</v>
      </c>
      <c r="T4">
        <f>T3-S3</f>
        <v>2</v>
      </c>
    </row>
    <row r="5" spans="1:29" hidden="1" x14ac:dyDescent="0.3">
      <c r="E5" s="30">
        <f>(E3+F3)/2</f>
        <v>55</v>
      </c>
      <c r="F5">
        <f>E5-G3</f>
        <v>35</v>
      </c>
      <c r="I5" s="30">
        <f>(I3+J3)/2</f>
        <v>52.5</v>
      </c>
      <c r="J5">
        <f>I5-K3</f>
        <v>31.5</v>
      </c>
      <c r="M5" s="30">
        <f>(M3+N3)/2</f>
        <v>9.5</v>
      </c>
      <c r="N5">
        <f>O3-M5</f>
        <v>16.5</v>
      </c>
      <c r="S5" s="30">
        <f>(S3+T3)/2</f>
        <v>17</v>
      </c>
      <c r="T5">
        <f>U3-S5</f>
        <v>10</v>
      </c>
    </row>
    <row r="6" spans="1:29" hidden="1" x14ac:dyDescent="0.3">
      <c r="E6" s="30"/>
      <c r="I6" s="30"/>
      <c r="N6" s="31">
        <f>IF(237.3*(LOG10((P3/100*(6.1078*10^((7.5*O3)/(237.3+O3))))/6.1078))/(7.5-(LOG10((P3/100*(6.1078*10^((7.5*O3)/(237.3+O3))))/6.1078)))&lt;1,1,237.3*(LOG10((P3/100*(6.1078*10^((7.5*O3)/(237.3+O3))))/6.1078))/(7.5-(LOG10((P3/100*(6.1078*10^((7.5*O3)/(237.3+O3))))/6.1078))))</f>
        <v>14.77388505236549</v>
      </c>
      <c r="T6" s="31">
        <f>IF(237.3*(LOG10((V3/100*(6.1078*10^((7.5*U3)/(237.3+U3))))/6.1078))/(7.5-(LOG10((V3/100*(6.1078*10^((7.5*U3)/(237.3+U3))))/6.1078)))&lt;1,1,237.3*(LOG10((V3/100*(6.1078*10^((7.5*U3)/(237.3+U3))))/6.1078))/(7.5-(LOG10((V3/100*(6.1078*10^((7.5*U3)/(237.3+U3))))/6.1078))))</f>
        <v>15.054315776404744</v>
      </c>
    </row>
    <row r="7" spans="1:29" hidden="1" x14ac:dyDescent="0.3">
      <c r="E7" s="30"/>
      <c r="I7" s="30"/>
      <c r="M7" s="446" t="str">
        <f>IF(OR(N6&lt;(N3*50+M3)/51,(N6-(N3*51+M3)/51)&lt;0.7),"trocken","feucht")</f>
        <v>feucht</v>
      </c>
      <c r="N7" s="447"/>
      <c r="O7" s="447"/>
      <c r="P7" s="27"/>
      <c r="Q7" s="27"/>
      <c r="R7" s="27"/>
      <c r="S7" s="446" t="str">
        <f>IF(OR(T6&lt;(T3*50+S3)/51,(T6-(T3*51+S3)/51)&lt;0.7),"trocken","feucht")</f>
        <v>trocken</v>
      </c>
      <c r="T7" s="447"/>
      <c r="U7" s="447"/>
      <c r="V7" s="27"/>
      <c r="W7" s="27"/>
      <c r="X7" s="27"/>
    </row>
    <row r="8" spans="1:29" x14ac:dyDescent="0.3">
      <c r="A8" s="448" t="s">
        <v>61</v>
      </c>
      <c r="B8" s="449"/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49"/>
      <c r="Q8" s="449"/>
      <c r="R8" s="449"/>
      <c r="S8" s="449"/>
      <c r="T8" s="449"/>
      <c r="U8" s="449"/>
      <c r="V8" s="449"/>
      <c r="W8" s="449"/>
      <c r="X8" s="449"/>
      <c r="Y8" s="449"/>
      <c r="Z8" s="449"/>
      <c r="AA8" s="449"/>
      <c r="AB8" s="450"/>
    </row>
    <row r="9" spans="1:29" ht="15.6" x14ac:dyDescent="0.35">
      <c r="A9" t="s">
        <v>1</v>
      </c>
      <c r="B9" s="27" t="s">
        <v>59</v>
      </c>
      <c r="C9" s="27" t="s">
        <v>60</v>
      </c>
      <c r="D9" s="27" t="s">
        <v>5</v>
      </c>
      <c r="E9" s="242" t="s">
        <v>118</v>
      </c>
      <c r="F9" s="27" t="s">
        <v>119</v>
      </c>
      <c r="G9" s="27" t="s">
        <v>120</v>
      </c>
      <c r="H9" s="48" t="s">
        <v>121</v>
      </c>
      <c r="I9" s="242" t="s">
        <v>118</v>
      </c>
      <c r="J9" s="27" t="s">
        <v>119</v>
      </c>
      <c r="K9" s="27" t="s">
        <v>120</v>
      </c>
      <c r="L9" s="48" t="s">
        <v>121</v>
      </c>
      <c r="M9" s="243" t="s">
        <v>122</v>
      </c>
      <c r="N9" s="244" t="s">
        <v>123</v>
      </c>
      <c r="O9" s="27" t="s">
        <v>119</v>
      </c>
      <c r="P9" s="27" t="s">
        <v>124</v>
      </c>
      <c r="Q9" s="48" t="s">
        <v>125</v>
      </c>
      <c r="R9" s="48" t="s">
        <v>126</v>
      </c>
      <c r="S9" s="243" t="s">
        <v>122</v>
      </c>
      <c r="T9" s="244" t="s">
        <v>123</v>
      </c>
      <c r="U9" s="27" t="s">
        <v>119</v>
      </c>
      <c r="V9" s="27" t="s">
        <v>124</v>
      </c>
      <c r="W9" s="55" t="s">
        <v>125</v>
      </c>
      <c r="X9" s="48" t="s">
        <v>126</v>
      </c>
      <c r="Y9" s="56" t="s">
        <v>73</v>
      </c>
      <c r="Z9" s="56" t="s">
        <v>73</v>
      </c>
      <c r="AA9" s="56" t="s">
        <v>127</v>
      </c>
      <c r="AB9" s="56" t="s">
        <v>128</v>
      </c>
    </row>
    <row r="10" spans="1:29" x14ac:dyDescent="0.3">
      <c r="A10" s="32">
        <v>420</v>
      </c>
      <c r="B10" s="49">
        <v>950</v>
      </c>
      <c r="C10" s="64">
        <v>100</v>
      </c>
      <c r="D10" s="53">
        <v>1350</v>
      </c>
      <c r="E10" s="33">
        <f>F$5^Konstanten!$E$4*$A10*$D10^Konstanten!$F$4*F$4^Konstanten!$G$4*E$5^Konstanten!$H$4*(Konstanten!$C$4-F$4^Konstanten!$I$4*Konstanten!$D$4)</f>
        <v>2119.3769562285297</v>
      </c>
      <c r="F10" s="34">
        <f>Konstanten!$C$23*(((($E$3+$F$3)*Konstanten!$I$23+$G$3)/(Konstanten!$I$23+2))^Konstanten!$D$23*$D10^Konstanten!$E$23*ABS($F$4)^Konstanten!$F$23+Konstanten!$H$23*($D10*$A10)^Konstanten!$G$23)</f>
        <v>45.140929552974782</v>
      </c>
      <c r="G10" s="36">
        <f>3.6*E10/(F$4*Konstanten!$K$3)</f>
        <v>182.21475697770316</v>
      </c>
      <c r="H10" s="39">
        <f>0.0010551*G10^1.7437</f>
        <v>9.2272683796089936</v>
      </c>
      <c r="I10" s="33">
        <f>J$5^Konstanten!$E$4*$A10*$D10^Konstanten!$F$4*J$4^Konstanten!$G$4*I$5^Konstanten!$H$4*(Konstanten!$C$4-J$4^Konstanten!$I$4*Konstanten!$D$4)</f>
        <v>1759.1575929813346</v>
      </c>
      <c r="J10" s="34">
        <f>Konstanten!$C$23*(((($I$3+$J$3)*Konstanten!$I$23+$K$3)/(Konstanten!$I$23+2))^Konstanten!$D$23*$D10^Konstanten!$E$23*ABS($J$4)^Konstanten!$F$23+Konstanten!$H$23*($D10*$A10)^Konstanten!$G$23)</f>
        <v>42.507492724081125</v>
      </c>
      <c r="K10" s="36">
        <f>3.6*I10/(J$4*Konstanten!$K$3)</f>
        <v>100.82978155397454</v>
      </c>
      <c r="L10" s="39">
        <f>0.0010551*K10^1.7437</f>
        <v>3.2881487759773664</v>
      </c>
      <c r="M10" s="33">
        <f>IF(M$7="trocken",N10,IF(Konstanten!$A$18*(N$6^Konstanten!$B$18*N$5^Konstanten!$C$18*N10^Konstanten!$D$18*M$5^Konstanten!$E$18+N$4^Konstanten!$F$18)&lt;1,N10,N10*Konstanten!$A$18*(N$6^Konstanten!$B$18*N$5^Konstanten!$C$18*N10^Konstanten!$D$18*M$5^Konstanten!$E$18+N$4^Konstanten!$F$18)))</f>
        <v>1017.38116592046</v>
      </c>
      <c r="N10" s="33">
        <f>N$5^Konstanten!$E$6*$A10*$D10^Konstanten!$F$6*N$4^Konstanten!$G$6*M$5^Konstanten!$H$6*(Konstanten!$C$6-N$4^Konstanten!$I$6*Konstanten!$D$6)</f>
        <v>811.0197248083839</v>
      </c>
      <c r="O10" s="34">
        <f>Konstanten!$C$25*(((($M$3+$N$3)*Konstanten!$I$25+$O$3)/(Konstanten!$I$25+2))^Konstanten!$D$25*$D10^Konstanten!$E$25*ABS($N$4)^Konstanten!$F$25+Konstanten!$H$25*($D10*$A10)^Konstanten!$G$25)</f>
        <v>15.501685916567387</v>
      </c>
      <c r="P10" s="36">
        <f>3.6*M10/(N$4*Konstanten!$K$3)</f>
        <v>124.95711558536752</v>
      </c>
      <c r="Q10" s="39">
        <f>0.00090879*P10^1.8254</f>
        <v>6.1078878459485946</v>
      </c>
      <c r="R10" s="67">
        <f t="shared" ref="R10:R39" si="0">3.6*(M10-N10)/2257</f>
        <v>0.32915427027180955</v>
      </c>
      <c r="S10" s="33">
        <f>IF(S$7="trocken",T10,IF(Konstanten!$A$18*(T$6^Konstanten!$B$18*T$5^Konstanten!$C$18*T10^Konstanten!$D$18*S$5^Konstanten!$E$18+T$4^Konstanten!$F$18)&lt;1,T10,T10*Konstanten!$A$18*(T$6^Konstanten!$B$18*T$5^Konstanten!$C$18*T10^Konstanten!$D$18*S$5^Konstanten!$E$18+T$4^Konstanten!$F$18)))</f>
        <v>630.65911810489206</v>
      </c>
      <c r="T10" s="33">
        <f>T$5^Konstanten!$E$6*$A10*$D10^Konstanten!$F$6*T$4^Konstanten!$G$6*S$5^Konstanten!$H$6*(Konstanten!$C$6-T$4^Konstanten!$I$6*Konstanten!$D$6)</f>
        <v>630.65911810489206</v>
      </c>
      <c r="U10" s="34">
        <f>Konstanten!$C$25*(((($S$3+$T$3)*Konstanten!$I$25+$U$3)/(Konstanten!$I$25+2))^Konstanten!$D$25*$D10^Konstanten!$E$25*ABS($T$4)^Konstanten!$F$25+Konstanten!$H$25*($D10*$A10)^Konstanten!$G$25)</f>
        <v>19.992994964757873</v>
      </c>
      <c r="V10" s="36">
        <f>3.6*S10/(T$4*Konstanten!$K$3)</f>
        <v>271.10655705568672</v>
      </c>
      <c r="W10" s="39">
        <f>0.00090879*V10^1.8254</f>
        <v>25.11408357260364</v>
      </c>
      <c r="X10" s="67">
        <f t="shared" ref="X10:X39" si="1">3.6*(S10-T10)/2257</f>
        <v>0</v>
      </c>
      <c r="Y10" s="45">
        <f>ROUNDUP((0.5*(1-0.1*$J$5/85)*A10*(D10-140)/1000)/5,0)*5</f>
        <v>245</v>
      </c>
      <c r="Z10" s="45">
        <v>245</v>
      </c>
      <c r="AA10" s="98">
        <f>AB10-8</f>
        <v>43.3</v>
      </c>
      <c r="AB10" s="98">
        <v>51.3</v>
      </c>
      <c r="AC10" s="75">
        <f>IF(AB10&lt;28,"&lt; 28 dB(A)",AB10)</f>
        <v>51.3</v>
      </c>
    </row>
    <row r="11" spans="1:29" x14ac:dyDescent="0.3">
      <c r="A11">
        <v>420</v>
      </c>
      <c r="B11" s="50">
        <v>950</v>
      </c>
      <c r="C11" s="65">
        <v>80</v>
      </c>
      <c r="D11" s="27">
        <v>1090</v>
      </c>
      <c r="E11" s="23">
        <f>F$5^Konstanten!$E$4*$A11*$D11^Konstanten!$F$4*F$4^Konstanten!$G$4*E$5^Konstanten!$H$4*(Konstanten!$C$4-F$4^Konstanten!$I$4*Konstanten!$D$4)</f>
        <v>1687.2482977278889</v>
      </c>
      <c r="F11" s="28">
        <f>Konstanten!$C$23*(((($E$3+$F$3)*Konstanten!$I$23+$G$3)/(Konstanten!$I$23+2))^Konstanten!$D$23*$D11^Konstanten!$E$23*ABS($F$4)^Konstanten!$F$23+Konstanten!$H$23*($D11*$A11)^Konstanten!$G$23)</f>
        <v>46.257677876646675</v>
      </c>
      <c r="G11" s="37">
        <f>3.6*E11/(F$4*Konstanten!$K$3)</f>
        <v>145.06222577725319</v>
      </c>
      <c r="H11" s="40">
        <f t="shared" ref="H11:H14" si="2">0.0010551*G11^1.7437</f>
        <v>6.2000603971680324</v>
      </c>
      <c r="I11" s="23">
        <f>J$5^Konstanten!$E$4*$A11*$D11^Konstanten!$F$4*J$4^Konstanten!$G$4*I$5^Konstanten!$H$4*(Konstanten!$C$4-J$4^Konstanten!$I$4*Konstanten!$D$4)</f>
        <v>1400.475571591898</v>
      </c>
      <c r="J11" s="28">
        <f>Konstanten!$C$23*(((($I$3+$J$3)*Konstanten!$I$23+$K$3)/(Konstanten!$I$23+2))^Konstanten!$D$23*$D11^Konstanten!$E$23*ABS($J$4)^Konstanten!$F$23+Konstanten!$H$23*($D11*$A11)^Konstanten!$G$23)</f>
        <v>43.550653612206574</v>
      </c>
      <c r="K11" s="37">
        <f>3.6*I11/(J$4*Konstanten!$K$3)</f>
        <v>80.271174406821316</v>
      </c>
      <c r="L11" s="40">
        <f t="shared" ref="L11:L14" si="3">0.0010551*K11^1.7437</f>
        <v>2.2093993766330349</v>
      </c>
      <c r="M11" s="23">
        <f>IF(M$7="trocken",N11,IF(Konstanten!$A$18*(N$6^Konstanten!$B$18*N$5^Konstanten!$C$18*N11^Konstanten!$D$18*M$5^Konstanten!$E$18+N$4^Konstanten!$F$18)&lt;1,N11,N11*Konstanten!$A$18*(N$6^Konstanten!$B$18*N$5^Konstanten!$C$18*N11^Konstanten!$D$18*M$5^Konstanten!$E$18+N$4^Konstanten!$F$18)))</f>
        <v>751.15772592943654</v>
      </c>
      <c r="N11" s="23">
        <f>N$5^Konstanten!$E$6*$A11*$D11^Konstanten!$F$6*N$4^Konstanten!$G$6*M$5^Konstanten!$H$6*(Konstanten!$C$6-N$4^Konstanten!$I$6*Konstanten!$D$6)</f>
        <v>593.21336676441399</v>
      </c>
      <c r="O11" s="28">
        <f>Konstanten!$C$25*(((($M$3+$N$3)*Konstanten!$I$25+$O$3)/(Konstanten!$I$25+2))^Konstanten!$D$25*$D11^Konstanten!$E$25*ABS($N$4)^Konstanten!$F$25+Konstanten!$H$25*($D11*$A11)^Konstanten!$G$25)</f>
        <v>15.070036097665875</v>
      </c>
      <c r="P11" s="37">
        <f>3.6*M11/(N$4*Konstanten!$K$3)</f>
        <v>92.258934926209065</v>
      </c>
      <c r="Q11" s="40">
        <f t="shared" ref="Q11:Q14" si="4">0.00090879*P11^1.8254</f>
        <v>3.5106694481404337</v>
      </c>
      <c r="R11" s="68">
        <f t="shared" si="0"/>
        <v>0.25192720114934924</v>
      </c>
      <c r="S11" s="23">
        <f>IF(S$7="trocken",T11,IF(Konstanten!$A$18*(T$6^Konstanten!$B$18*T$5^Konstanten!$C$18*T11^Konstanten!$D$18*S$5^Konstanten!$E$18+T$4^Konstanten!$F$18)&lt;1,T11,T11*Konstanten!$A$18*(T$6^Konstanten!$B$18*T$5^Konstanten!$C$18*T11^Konstanten!$D$18*S$5^Konstanten!$E$18+T$4^Konstanten!$F$18)))</f>
        <v>461.29016013768336</v>
      </c>
      <c r="T11" s="23">
        <f>T$5^Konstanten!$E$6*$A11*$D11^Konstanten!$F$6*T$4^Konstanten!$G$6*S$5^Konstanten!$H$6*(Konstanten!$C$6-T$4^Konstanten!$I$6*Konstanten!$D$6)</f>
        <v>461.29016013768336</v>
      </c>
      <c r="U11" s="28">
        <f>Konstanten!$C$25*(((($S$3+$T$3)*Konstanten!$I$25+$U$3)/(Konstanten!$I$25+2))^Konstanten!$D$25*$D11^Konstanten!$E$25*ABS($T$4)^Konstanten!$F$25+Konstanten!$H$25*($D11*$A11)^Konstanten!$G$25)</f>
        <v>19.436154640814074</v>
      </c>
      <c r="V11" s="37">
        <f>3.6*S11/(T$4*Konstanten!$K$3)</f>
        <v>198.29854754877863</v>
      </c>
      <c r="W11" s="40">
        <f t="shared" ref="W11:W14" si="5">0.00090879*V11^1.8254</f>
        <v>14.190268580644968</v>
      </c>
      <c r="X11" s="68">
        <f t="shared" si="1"/>
        <v>0</v>
      </c>
      <c r="Y11" s="46">
        <f t="shared" ref="Y11:Y39" si="6">ROUNDUP((0.5*(1-0.1*$J$5/85)*A11*(D11-140)/1000)/5,0)*5</f>
        <v>195</v>
      </c>
      <c r="Z11" s="46">
        <v>195</v>
      </c>
      <c r="AA11" s="98">
        <f t="shared" ref="AA11:AA39" si="7">AB11-8</f>
        <v>36.200000000000003</v>
      </c>
      <c r="AB11" s="98">
        <v>44.2</v>
      </c>
      <c r="AC11" s="75">
        <f t="shared" ref="AC11:AC39" si="8">IF(AB11&lt;28,"&lt; 28 dB(A)",AB11)</f>
        <v>44.2</v>
      </c>
    </row>
    <row r="12" spans="1:29" x14ac:dyDescent="0.3">
      <c r="A12">
        <v>420</v>
      </c>
      <c r="B12" s="50">
        <v>950</v>
      </c>
      <c r="C12" s="65">
        <v>60</v>
      </c>
      <c r="D12" s="27">
        <v>830</v>
      </c>
      <c r="E12" s="23">
        <f>F$5^Konstanten!$E$4*$A12*$D12^Konstanten!$F$4*F$4^Konstanten!$G$4*E$5^Konstanten!$H$4*(Konstanten!$C$4-F$4^Konstanten!$I$4*Konstanten!$D$4)</f>
        <v>1261.9212730296838</v>
      </c>
      <c r="F12" s="28">
        <f>Konstanten!$C$23*(((($E$3+$F$3)*Konstanten!$I$23+$G$3)/(Konstanten!$I$23+2))^Konstanten!$D$23*$D12^Konstanten!$E$23*ABS($F$4)^Konstanten!$F$23+Konstanten!$H$23*($D12*$A12)^Konstanten!$G$23)</f>
        <v>47.729144033667765</v>
      </c>
      <c r="G12" s="37">
        <f>3.6*E12/(F$4*Konstanten!$K$3)</f>
        <v>108.49446928935251</v>
      </c>
      <c r="H12" s="40">
        <f t="shared" si="2"/>
        <v>3.7362321633943245</v>
      </c>
      <c r="I12" s="23">
        <f>J$5^Konstanten!$E$4*$A12*$D12^Konstanten!$F$4*J$4^Konstanten!$G$4*I$5^Konstanten!$H$4*(Konstanten!$C$4-J$4^Konstanten!$I$4*Konstanten!$D$4)</f>
        <v>1047.4391460522556</v>
      </c>
      <c r="J12" s="28">
        <f>Konstanten!$C$23*(((($I$3+$J$3)*Konstanten!$I$23+$K$3)/(Konstanten!$I$23+2))^Konstanten!$D$23*$D12^Konstanten!$E$23*ABS($J$4)^Konstanten!$F$23+Konstanten!$H$23*($D12*$A12)^Konstanten!$G$23)</f>
        <v>44.925396053781306</v>
      </c>
      <c r="K12" s="37">
        <f>3.6*I12/(J$4*Konstanten!$K$3)</f>
        <v>60.036156344891594</v>
      </c>
      <c r="L12" s="40">
        <f t="shared" si="3"/>
        <v>1.3314110644035386</v>
      </c>
      <c r="M12" s="23">
        <f>IF(M$7="trocken",N12,IF(Konstanten!$A$18*(N$6^Konstanten!$B$18*N$5^Konstanten!$C$18*N12^Konstanten!$D$18*M$5^Konstanten!$E$18+N$4^Konstanten!$F$18)&lt;1,N12,N12*Konstanten!$A$18*(N$6^Konstanten!$B$18*N$5^Konstanten!$C$18*N12^Konstanten!$D$18*M$5^Konstanten!$E$18+N$4^Konstanten!$F$18)))</f>
        <v>510.39014813404168</v>
      </c>
      <c r="N12" s="23">
        <f>N$5^Konstanten!$E$6*$A12*$D12^Konstanten!$F$6*N$4^Konstanten!$G$6*M$5^Konstanten!$H$6*(Konstanten!$C$6-N$4^Konstanten!$I$6*Konstanten!$D$6)</f>
        <v>398.2889179340699</v>
      </c>
      <c r="O12" s="28">
        <f>Konstanten!$C$25*(((($M$3+$N$3)*Konstanten!$I$25+$O$3)/(Konstanten!$I$25+2))^Konstanten!$D$25*$D12^Konstanten!$E$25*ABS($N$4)^Konstanten!$F$25+Konstanten!$H$25*($D12*$A12)^Konstanten!$G$25)</f>
        <v>14.53759224808714</v>
      </c>
      <c r="P12" s="37">
        <f>3.6*M12/(N$4*Konstanten!$K$3)</f>
        <v>62.687302331095488</v>
      </c>
      <c r="Q12" s="40">
        <f t="shared" si="4"/>
        <v>1.7339443167673052</v>
      </c>
      <c r="R12" s="68">
        <f t="shared" si="0"/>
        <v>0.17880568396982652</v>
      </c>
      <c r="S12" s="23">
        <f>IF(S$7="trocken",T12,IF(Konstanten!$A$18*(T$6^Konstanten!$B$18*T$5^Konstanten!$C$18*T12^Konstanten!$D$18*S$5^Konstanten!$E$18+T$4^Konstanten!$F$18)&lt;1,T12,T12*Konstanten!$A$18*(T$6^Konstanten!$B$18*T$5^Konstanten!$C$18*T12^Konstanten!$D$18*S$5^Konstanten!$E$18+T$4^Konstanten!$F$18)))</f>
        <v>309.71446199363226</v>
      </c>
      <c r="T12" s="23">
        <f>T$5^Konstanten!$E$6*$A12*$D12^Konstanten!$F$6*T$4^Konstanten!$G$6*S$5^Konstanten!$H$6*(Konstanten!$C$6-T$4^Konstanten!$I$6*Konstanten!$D$6)</f>
        <v>309.71446199363226</v>
      </c>
      <c r="U12" s="28">
        <f>Konstanten!$C$25*(((($S$3+$T$3)*Konstanten!$I$25+$U$3)/(Konstanten!$I$25+2))^Konstanten!$D$25*$D12^Konstanten!$E$25*ABS($T$4)^Konstanten!$F$25+Konstanten!$H$25*($D12*$A12)^Konstanten!$G$25)</f>
        <v>18.749279712957637</v>
      </c>
      <c r="V12" s="37">
        <f>3.6*S12/(T$4*Konstanten!$K$3)</f>
        <v>133.13947115164473</v>
      </c>
      <c r="W12" s="40">
        <f t="shared" si="5"/>
        <v>6.8576169461440113</v>
      </c>
      <c r="X12" s="68">
        <f t="shared" si="1"/>
        <v>0</v>
      </c>
      <c r="Y12" s="46">
        <f t="shared" si="6"/>
        <v>140</v>
      </c>
      <c r="Z12" s="46">
        <v>140</v>
      </c>
      <c r="AA12" s="98">
        <f t="shared" si="7"/>
        <v>27.4</v>
      </c>
      <c r="AB12" s="98">
        <v>35.4</v>
      </c>
      <c r="AC12" s="75">
        <f t="shared" si="8"/>
        <v>35.4</v>
      </c>
    </row>
    <row r="13" spans="1:29" x14ac:dyDescent="0.3">
      <c r="A13">
        <v>420</v>
      </c>
      <c r="B13" s="50">
        <v>950</v>
      </c>
      <c r="C13" s="65">
        <v>40</v>
      </c>
      <c r="D13" s="27">
        <v>565</v>
      </c>
      <c r="E13" s="23">
        <f>F$5^Konstanten!$E$4*$A13*$D13^Konstanten!$F$4*F$4^Konstanten!$G$4*E$5^Konstanten!$H$4*(Konstanten!$C$4-F$4^Konstanten!$I$4*Konstanten!$D$4)</f>
        <v>837.52259547674225</v>
      </c>
      <c r="F13" s="28">
        <f>Konstanten!$C$23*(((($E$3+$F$3)*Konstanten!$I$23+$G$3)/(Konstanten!$I$23+2))^Konstanten!$D$23*$D13^Konstanten!$E$23*ABS($F$4)^Konstanten!$F$23+Konstanten!$H$23*($D13*$A13)^Konstanten!$G$23)</f>
        <v>49.902538228157873</v>
      </c>
      <c r="G13" s="37">
        <f>3.6*E13/(F$4*Konstanten!$K$3)</f>
        <v>72.006528026850063</v>
      </c>
      <c r="H13" s="40">
        <f t="shared" si="2"/>
        <v>1.8280705581956809</v>
      </c>
      <c r="I13" s="23">
        <f>J$5^Konstanten!$E$4*$A13*$D13^Konstanten!$F$4*J$4^Konstanten!$G$4*I$5^Konstanten!$H$4*(Konstanten!$C$4-J$4^Konstanten!$I$4*Konstanten!$D$4)</f>
        <v>695.17328137235722</v>
      </c>
      <c r="J13" s="28">
        <f>Konstanten!$C$23*(((($I$3+$J$3)*Konstanten!$I$23+$K$3)/(Konstanten!$I$23+2))^Konstanten!$D$23*$D13^Konstanten!$E$23*ABS($J$4)^Konstanten!$F$23+Konstanten!$H$23*($D13*$A13)^Konstanten!$G$23)</f>
        <v>46.956370942467835</v>
      </c>
      <c r="K13" s="37">
        <f>3.6*I13/(J$4*Konstanten!$K$3)</f>
        <v>39.845304583623047</v>
      </c>
      <c r="L13" s="40">
        <f t="shared" si="3"/>
        <v>0.65143525917321399</v>
      </c>
      <c r="M13" s="23">
        <f>IF(M$7="trocken",N13,IF(Konstanten!$A$18*(N$6^Konstanten!$B$18*N$5^Konstanten!$C$18*N13^Konstanten!$D$18*M$5^Konstanten!$E$18+N$4^Konstanten!$F$18)&lt;1,N13,N13*Konstanten!$A$18*(N$6^Konstanten!$B$18*N$5^Konstanten!$C$18*N13^Konstanten!$D$18*M$5^Konstanten!$E$18+N$4^Konstanten!$F$18)))</f>
        <v>295.83033757045996</v>
      </c>
      <c r="N13" s="23">
        <f>N$5^Konstanten!$E$6*$A13*$D13^Konstanten!$F$6*N$4^Konstanten!$G$6*M$5^Konstanten!$H$6*(Konstanten!$C$6-N$4^Konstanten!$I$6*Konstanten!$D$6)</f>
        <v>226.99628755470587</v>
      </c>
      <c r="O13" s="28">
        <f>Konstanten!$C$25*(((($M$3+$N$3)*Konstanten!$I$25+$O$3)/(Konstanten!$I$25+2))^Konstanten!$D$25*$D13^Konstanten!$E$25*ABS($N$4)^Konstanten!$F$25+Konstanten!$H$25*($D13*$A13)^Konstanten!$G$25)</f>
        <v>13.818075098336559</v>
      </c>
      <c r="P13" s="37">
        <f>3.6*M13/(N$4*Konstanten!$K$3)</f>
        <v>36.334568521332649</v>
      </c>
      <c r="Q13" s="40">
        <f t="shared" si="4"/>
        <v>0.64072501629181666</v>
      </c>
      <c r="R13" s="68">
        <f t="shared" si="0"/>
        <v>0.10979290210753864</v>
      </c>
      <c r="S13" s="23">
        <f>IF(S$7="trocken",T13,IF(Konstanten!$A$18*(T$6^Konstanten!$B$18*T$5^Konstanten!$C$18*T13^Konstanten!$D$18*S$5^Konstanten!$E$18+T$4^Konstanten!$F$18)&lt;1,T13,T13*Konstanten!$A$18*(T$6^Konstanten!$B$18*T$5^Konstanten!$C$18*T13^Konstanten!$D$18*S$5^Konstanten!$E$18+T$4^Konstanten!$F$18)))</f>
        <v>176.51516250872746</v>
      </c>
      <c r="T13" s="23">
        <f>T$5^Konstanten!$E$6*$A13*$D13^Konstanten!$F$6*T$4^Konstanten!$G$6*S$5^Konstanten!$H$6*(Konstanten!$C$6-T$4^Konstanten!$I$6*Konstanten!$D$6)</f>
        <v>176.51516250872746</v>
      </c>
      <c r="U13" s="28">
        <f>Konstanten!$C$25*(((($S$3+$T$3)*Konstanten!$I$25+$U$3)/(Konstanten!$I$25+2))^Konstanten!$D$25*$D13^Konstanten!$E$25*ABS($T$4)^Konstanten!$F$25+Konstanten!$H$25*($D13*$A13)^Konstanten!$G$25)</f>
        <v>17.821057397897548</v>
      </c>
      <c r="V13" s="37">
        <f>3.6*S13/(T$4*Konstanten!$K$3)</f>
        <v>75.880006491727173</v>
      </c>
      <c r="W13" s="40">
        <f t="shared" si="5"/>
        <v>2.4572425180019195</v>
      </c>
      <c r="X13" s="68">
        <f t="shared" si="1"/>
        <v>0</v>
      </c>
      <c r="Y13" s="46">
        <f t="shared" si="6"/>
        <v>90</v>
      </c>
      <c r="Z13" s="46">
        <v>90</v>
      </c>
      <c r="AA13" s="98">
        <f t="shared" si="7"/>
        <v>17.100000000000001</v>
      </c>
      <c r="AB13" s="98">
        <v>25.1</v>
      </c>
      <c r="AC13" s="75" t="str">
        <f t="shared" si="8"/>
        <v>&lt; 28 dB(A)</v>
      </c>
    </row>
    <row r="14" spans="1:29" x14ac:dyDescent="0.3">
      <c r="A14" s="22">
        <v>420</v>
      </c>
      <c r="B14" s="51">
        <v>950</v>
      </c>
      <c r="C14" s="66">
        <v>20</v>
      </c>
      <c r="D14" s="78">
        <v>300</v>
      </c>
      <c r="E14" s="24">
        <f>F$5^Konstanten!$E$4*$A14*$D14^Konstanten!$F$4*F$4^Konstanten!$G$4*E$5^Konstanten!$H$4*(Konstanten!$C$4-F$4^Konstanten!$I$4*Konstanten!$D$4)</f>
        <v>426.5339082202928</v>
      </c>
      <c r="F14" s="29">
        <f>Konstanten!$C$23*(((($E$3+$F$3)*Konstanten!$I$23+$G$3)/(Konstanten!$I$23+2))^Konstanten!$D$23*$D14^Konstanten!$E$23*ABS($F$4)^Konstanten!$F$23+Konstanten!$H$23*($D14*$A14)^Konstanten!$G$23)</f>
        <v>53.739783515801001</v>
      </c>
      <c r="G14" s="38">
        <f>3.6*E14/(F$4*Konstanten!$K$3)</f>
        <v>36.671519052191705</v>
      </c>
      <c r="H14" s="41">
        <f t="shared" si="2"/>
        <v>0.5636557300322802</v>
      </c>
      <c r="I14" s="24">
        <f>J$5^Konstanten!$E$4*$A14*$D14^Konstanten!$F$4*J$4^Konstanten!$G$4*I$5^Konstanten!$H$4*(Konstanten!$C$4-J$4^Konstanten!$I$4*Konstanten!$D$4)</f>
        <v>354.03818141203914</v>
      </c>
      <c r="J14" s="29">
        <f>Konstanten!$C$23*(((($I$3+$J$3)*Konstanten!$I$23+$K$3)/(Konstanten!$I$23+2))^Konstanten!$D$23*$D14^Konstanten!$E$23*ABS($J$4)^Konstanten!$F$23+Konstanten!$H$23*($D14*$A14)^Konstanten!$G$23)</f>
        <v>50.543272002159505</v>
      </c>
      <c r="K14" s="38">
        <f>3.6*I14/(J$4*Konstanten!$K$3)</f>
        <v>20.292435786292334</v>
      </c>
      <c r="L14" s="41">
        <f t="shared" si="3"/>
        <v>0.20085943342387172</v>
      </c>
      <c r="M14" s="24">
        <f>IF(M$7="trocken",N14,IF(Konstanten!$A$18*(N$6^Konstanten!$B$18*N$5^Konstanten!$C$18*N14^Konstanten!$D$18*M$5^Konstanten!$E$18+N$4^Konstanten!$F$18)&lt;1,N14,N14*Konstanten!$A$18*(N$6^Konstanten!$B$18*N$5^Konstanten!$C$18*N14^Konstanten!$D$18*M$5^Konstanten!$E$18+N$4^Konstanten!$F$18)))</f>
        <v>120.55529521479241</v>
      </c>
      <c r="N14" s="24">
        <f>N$5^Konstanten!$E$6*$A14*$D14^Konstanten!$F$6*N$4^Konstanten!$G$6*M$5^Konstanten!$H$6*(Konstanten!$C$6-N$4^Konstanten!$I$6*Konstanten!$D$6)</f>
        <v>89.971428390695337</v>
      </c>
      <c r="O14" s="29">
        <f>Konstanten!$C$25*(((($M$3+$N$3)*Konstanten!$I$25+$O$3)/(Konstanten!$I$25+2))^Konstanten!$D$25*$D14^Konstanten!$E$25*ABS($N$4)^Konstanten!$F$25+Konstanten!$H$25*($D14*$A14)^Konstanten!$G$25)</f>
        <v>12.710716257220495</v>
      </c>
      <c r="P14" s="38">
        <f>3.6*M14/(N$4*Konstanten!$K$3)</f>
        <v>14.806881101395048</v>
      </c>
      <c r="Q14" s="41">
        <f t="shared" si="4"/>
        <v>0.12445942063654038</v>
      </c>
      <c r="R14" s="69">
        <f t="shared" si="0"/>
        <v>4.8782419391559348E-2</v>
      </c>
      <c r="S14" s="24">
        <f>IF(S$7="trocken",T14,IF(Konstanten!$A$18*(T$6^Konstanten!$B$18*T$5^Konstanten!$C$18*T14^Konstanten!$D$18*S$5^Konstanten!$E$18+T$4^Konstanten!$F$18)&lt;1,T14,T14*Konstanten!$A$18*(T$6^Konstanten!$B$18*T$5^Konstanten!$C$18*T14^Konstanten!$D$18*S$5^Konstanten!$E$18+T$4^Konstanten!$F$18)))</f>
        <v>69.962912057310817</v>
      </c>
      <c r="T14" s="24">
        <f>T$5^Konstanten!$E$6*$A14*$D14^Konstanten!$F$6*T$4^Konstanten!$G$6*S$5^Konstanten!$H$6*(Konstanten!$C$6-T$4^Konstanten!$I$6*Konstanten!$D$6)</f>
        <v>69.962912057310817</v>
      </c>
      <c r="U14" s="29">
        <f>Konstanten!$C$25*(((($S$3+$T$3)*Konstanten!$I$25+$U$3)/(Konstanten!$I$25+2))^Konstanten!$D$25*$D14^Konstanten!$E$25*ABS($T$4)^Konstanten!$F$25+Konstanten!$H$25*($D14*$A14)^Konstanten!$G$25)</f>
        <v>16.39245413827323</v>
      </c>
      <c r="V14" s="38">
        <f>3.6*S14/(T$4*Konstanten!$K$3)</f>
        <v>30.075525216290686</v>
      </c>
      <c r="W14" s="41">
        <f t="shared" si="5"/>
        <v>0.45372629813109877</v>
      </c>
      <c r="X14" s="69">
        <f t="shared" si="1"/>
        <v>0</v>
      </c>
      <c r="Y14" s="47">
        <f t="shared" si="6"/>
        <v>35</v>
      </c>
      <c r="Z14" s="47">
        <v>35</v>
      </c>
      <c r="AA14" s="99">
        <f t="shared" si="7"/>
        <v>11</v>
      </c>
      <c r="AB14" s="99">
        <v>19</v>
      </c>
      <c r="AC14" s="75" t="str">
        <f t="shared" si="8"/>
        <v>&lt; 28 dB(A)</v>
      </c>
    </row>
    <row r="15" spans="1:29" x14ac:dyDescent="0.3">
      <c r="A15" s="32">
        <v>710</v>
      </c>
      <c r="B15" s="49">
        <v>1200</v>
      </c>
      <c r="C15" s="64">
        <v>100</v>
      </c>
      <c r="D15" s="53">
        <f>D10</f>
        <v>1350</v>
      </c>
      <c r="E15" s="33">
        <f>F$5^Konstanten!$E$4*$A15*$D15^Konstanten!$F$4*F$4^Konstanten!$G$4*E$5^Konstanten!$H$4*(Konstanten!$C$4-F$4^Konstanten!$I$4*Konstanten!$D$4)</f>
        <v>3582.7562831482287</v>
      </c>
      <c r="F15" s="34">
        <f>Konstanten!$C$23*(((($E$3+$F$3)*Konstanten!$I$23+$G$3)/(Konstanten!$I$23+2))^Konstanten!$D$23*$D15^Konstanten!$E$23*ABS($F$4)^Konstanten!$F$23+Konstanten!$H$23*($D15*$A15)^Konstanten!$G$23)</f>
        <v>45.280295231831296</v>
      </c>
      <c r="G15" s="36">
        <f>3.6*E15/(F$4*Konstanten!$K$3)</f>
        <v>308.02970822421247</v>
      </c>
      <c r="H15" s="39">
        <f xml:space="preserve"> 0.0012797*G15^1.773</f>
        <v>33.066091080915456</v>
      </c>
      <c r="I15" s="33">
        <f>J$5^Konstanten!$E$4*$A15*$D15^Konstanten!$F$4*J$4^Konstanten!$G$4*I$5^Konstanten!$H$4*(Konstanten!$C$4-J$4^Konstanten!$I$4*Konstanten!$D$4)</f>
        <v>2973.8140262303505</v>
      </c>
      <c r="J15" s="34">
        <f>Konstanten!$C$23*(((($I$3+$J$3)*Konstanten!$I$23+$K$3)/(Konstanten!$I$23+2))^Konstanten!$D$23*$D15^Konstanten!$E$23*ABS($J$4)^Konstanten!$F$23+Konstanten!$H$23*($D15*$A15)^Konstanten!$G$23)</f>
        <v>42.646858402937639</v>
      </c>
      <c r="K15" s="36">
        <f>3.6*I15/(J$4*Konstanten!$K$3)</f>
        <v>170.45034500790931</v>
      </c>
      <c r="L15" s="39">
        <f xml:space="preserve"> 0.0012797*K15^1.773</f>
        <v>11.580604220212384</v>
      </c>
      <c r="M15" s="33">
        <f>IF(M$7="trocken",N15,IF(Konstanten!$A$18*(N$6^Konstanten!$B$18*N$5^Konstanten!$C$18*N15^Konstanten!$D$18*M$5^Konstanten!$E$18+N$4^Konstanten!$F$18)&lt;1,N15,N15*Konstanten!$A$18*(N$6^Konstanten!$B$18*N$5^Konstanten!$C$18*N15^Konstanten!$D$18*M$5^Konstanten!$E$18+N$4^Konstanten!$F$18)))</f>
        <v>1693.0383926170814</v>
      </c>
      <c r="N15" s="33">
        <f>N$5^Konstanten!$E$6*$A15*$D15^Konstanten!$F$6*N$4^Konstanten!$G$6*M$5^Konstanten!$H$6*(Konstanten!$C$6-N$4^Konstanten!$I$6*Konstanten!$D$6)</f>
        <v>1371.0095347951251</v>
      </c>
      <c r="O15" s="34">
        <f>Konstanten!$C$25*(((($M$3+$N$3)*Konstanten!$I$25+$O$3)/(Konstanten!$I$25+2))^Konstanten!$D$25*$D15^Konstanten!$E$25*ABS($N$4)^Konstanten!$F$25+Konstanten!$H$25*($D15*$A15)^Konstanten!$G$25)</f>
        <v>15.501085637525398</v>
      </c>
      <c r="P15" s="36">
        <f>3.6*M15/(N$4*Konstanten!$K$3)</f>
        <v>207.94290400030587</v>
      </c>
      <c r="Q15" s="39">
        <f>0.0015976*P15^1.7732</f>
        <v>20.589534996755294</v>
      </c>
      <c r="R15" s="67">
        <f t="shared" si="0"/>
        <v>0.51364815602970437</v>
      </c>
      <c r="S15" s="33">
        <f>IF(S$7="trocken",T15,IF(Konstanten!$A$18*(T$6^Konstanten!$B$18*T$5^Konstanten!$C$18*T15^Konstanten!$D$18*S$5^Konstanten!$E$18+T$4^Konstanten!$F$18)&lt;1,T15,T15*Konstanten!$A$18*(T$6^Konstanten!$B$18*T$5^Konstanten!$C$18*T15^Konstanten!$D$18*S$5^Konstanten!$E$18+T$4^Konstanten!$F$18)))</f>
        <v>1066.1142234630317</v>
      </c>
      <c r="T15" s="33">
        <f>T$5^Konstanten!$E$6*$A15*$D15^Konstanten!$F$6*T$4^Konstanten!$G$6*S$5^Konstanten!$H$6*(Konstanten!$C$6-T$4^Konstanten!$I$6*Konstanten!$D$6)</f>
        <v>1066.1142234630317</v>
      </c>
      <c r="U15" s="34">
        <f>Konstanten!$C$25*(((($S$3+$T$3)*Konstanten!$I$25+$U$3)/(Konstanten!$I$25+2))^Konstanten!$D$25*$D15^Konstanten!$E$25*ABS($T$4)^Konstanten!$F$25+Konstanten!$H$25*($D15*$A15)^Konstanten!$G$25)</f>
        <v>19.992394685715883</v>
      </c>
      <c r="V15" s="36">
        <f>3.6*S15/(T$4*Konstanten!$K$3)</f>
        <v>458.29917978461327</v>
      </c>
      <c r="W15" s="39">
        <f>0.0015976*V15^1.7732</f>
        <v>83.602179674223237</v>
      </c>
      <c r="X15" s="67">
        <f t="shared" si="1"/>
        <v>0</v>
      </c>
      <c r="Y15" s="45">
        <f t="shared" si="6"/>
        <v>415</v>
      </c>
      <c r="Z15" s="45">
        <v>415</v>
      </c>
      <c r="AA15" s="100">
        <f t="shared" si="7"/>
        <v>45.8</v>
      </c>
      <c r="AB15" s="100">
        <v>53.8</v>
      </c>
      <c r="AC15" s="75">
        <f t="shared" si="8"/>
        <v>53.8</v>
      </c>
    </row>
    <row r="16" spans="1:29" x14ac:dyDescent="0.3">
      <c r="A16">
        <v>710</v>
      </c>
      <c r="B16" s="50">
        <v>1200</v>
      </c>
      <c r="C16" s="65">
        <v>80</v>
      </c>
      <c r="D16" s="27">
        <f t="shared" ref="D16:D39" si="9">D11</f>
        <v>1090</v>
      </c>
      <c r="E16" s="23">
        <f>F$5^Konstanten!$E$4*$A16*$D16^Konstanten!$F$4*F$4^Konstanten!$G$4*E$5^Konstanten!$H$4*(Konstanten!$C$4-F$4^Konstanten!$I$4*Konstanten!$D$4)</f>
        <v>2852.2530747304786</v>
      </c>
      <c r="F16" s="28">
        <f>Konstanten!$C$23*(((($E$3+$F$3)*Konstanten!$I$23+$G$3)/(Konstanten!$I$23+2))^Konstanten!$D$23*$D16^Konstanten!$E$23*ABS($F$4)^Konstanten!$F$23+Konstanten!$H$23*($D16*$A16)^Konstanten!$G$23)</f>
        <v>46.394646723118164</v>
      </c>
      <c r="G16" s="37">
        <f>3.6*E16/(F$4*Konstanten!$K$3)</f>
        <v>245.224238813928</v>
      </c>
      <c r="H16" s="40">
        <f t="shared" ref="H16:H19" si="10" xml:space="preserve"> 0.0012797*G16^1.773</f>
        <v>22.07008823915141</v>
      </c>
      <c r="I16" s="23">
        <f>J$5^Konstanten!$E$4*$A16*$D16^Konstanten!$F$4*J$4^Konstanten!$G$4*I$5^Konstanten!$H$4*(Konstanten!$C$4-J$4^Konstanten!$I$4*Konstanten!$D$4)</f>
        <v>2367.4706091196363</v>
      </c>
      <c r="J16" s="28">
        <f>Konstanten!$C$23*(((($I$3+$J$3)*Konstanten!$I$23+$K$3)/(Konstanten!$I$23+2))^Konstanten!$D$23*$D16^Konstanten!$E$23*ABS($J$4)^Konstanten!$F$23+Konstanten!$H$23*($D16*$A16)^Konstanten!$G$23)</f>
        <v>43.687622458678064</v>
      </c>
      <c r="K16" s="37">
        <f>3.6*I16/(J$4*Konstanten!$K$3)</f>
        <v>135.69650911629313</v>
      </c>
      <c r="L16" s="40">
        <f t="shared" ref="L16:L19" si="11" xml:space="preserve"> 0.0012797*K16^1.773</f>
        <v>7.7295183267153975</v>
      </c>
      <c r="M16" s="23">
        <f>IF(M$7="trocken",N16,IF(Konstanten!$A$18*(N$6^Konstanten!$B$18*N$5^Konstanten!$C$18*N16^Konstanten!$D$18*M$5^Konstanten!$E$18+N$4^Konstanten!$F$18)&lt;1,N16,N16*Konstanten!$A$18*(N$6^Konstanten!$B$18*N$5^Konstanten!$C$18*N16^Konstanten!$D$18*M$5^Konstanten!$E$18+N$4^Konstanten!$F$18)))</f>
        <v>1250.0055088618772</v>
      </c>
      <c r="N16" s="23">
        <f>N$5^Konstanten!$E$6*$A16*$D16^Konstanten!$F$6*N$4^Konstanten!$G$6*M$5^Konstanten!$H$6*(Konstanten!$C$6-N$4^Konstanten!$I$6*Konstanten!$D$6)</f>
        <v>1002.8130723874619</v>
      </c>
      <c r="O16" s="28">
        <f>Konstanten!$C$25*(((($M$3+$N$3)*Konstanten!$I$25+$O$3)/(Konstanten!$I$25+2))^Konstanten!$D$25*$D16^Konstanten!$E$25*ABS($N$4)^Konstanten!$F$25+Konstanten!$H$25*($D16*$A16)^Konstanten!$G$25)</f>
        <v>15.069411704349802</v>
      </c>
      <c r="P16" s="37">
        <f>3.6*M16/(N$4*Konstanten!$K$3)</f>
        <v>153.52857717970707</v>
      </c>
      <c r="Q16" s="40">
        <f t="shared" ref="Q16:Q19" si="12">0.0015976*P16^1.7732</f>
        <v>12.023164409571773</v>
      </c>
      <c r="R16" s="68">
        <f t="shared" si="0"/>
        <v>0.39428124559499106</v>
      </c>
      <c r="S16" s="23">
        <f>IF(S$7="trocken",T16,IF(Konstanten!$A$18*(T$6^Konstanten!$B$18*T$5^Konstanten!$C$18*T16^Konstanten!$D$18*S$5^Konstanten!$E$18+T$4^Konstanten!$F$18)&lt;1,T16,T16*Konstanten!$A$18*(T$6^Konstanten!$B$18*T$5^Konstanten!$C$18*T16^Konstanten!$D$18*S$5^Konstanten!$E$18+T$4^Konstanten!$F$18)))</f>
        <v>779.80003261370268</v>
      </c>
      <c r="T16" s="23">
        <f>T$5^Konstanten!$E$6*$A16*$D16^Konstanten!$F$6*T$4^Konstanten!$G$6*S$5^Konstanten!$H$6*(Konstanten!$C$6-T$4^Konstanten!$I$6*Konstanten!$D$6)</f>
        <v>779.80003261370268</v>
      </c>
      <c r="U16" s="28">
        <f>Konstanten!$C$25*(((($S$3+$T$3)*Konstanten!$I$25+$U$3)/(Konstanten!$I$25+2))^Konstanten!$D$25*$D16^Konstanten!$E$25*ABS($T$4)^Konstanten!$F$25+Konstanten!$H$25*($D16*$A16)^Konstanten!$G$25)</f>
        <v>19.435530247498001</v>
      </c>
      <c r="V16" s="37">
        <f>3.6*S16/(T$4*Konstanten!$K$3)</f>
        <v>335.21897323722095</v>
      </c>
      <c r="W16" s="40">
        <f t="shared" ref="W16:W19" si="13">0.0015976*V16^1.7732</f>
        <v>48.015417597615091</v>
      </c>
      <c r="X16" s="68">
        <f t="shared" si="1"/>
        <v>0</v>
      </c>
      <c r="Y16" s="46">
        <f t="shared" si="6"/>
        <v>325</v>
      </c>
      <c r="Z16" s="46">
        <v>325</v>
      </c>
      <c r="AA16" s="98">
        <f t="shared" si="7"/>
        <v>38.700000000000003</v>
      </c>
      <c r="AB16" s="98">
        <v>46.7</v>
      </c>
      <c r="AC16" s="75">
        <f t="shared" si="8"/>
        <v>46.7</v>
      </c>
    </row>
    <row r="17" spans="1:29" x14ac:dyDescent="0.3">
      <c r="A17">
        <v>710</v>
      </c>
      <c r="B17" s="50">
        <v>1200</v>
      </c>
      <c r="C17" s="65">
        <v>60</v>
      </c>
      <c r="D17" s="27">
        <f t="shared" si="9"/>
        <v>830</v>
      </c>
      <c r="E17" s="23">
        <f>F$5^Konstanten!$E$4*$A17*$D17^Konstanten!$F$4*F$4^Konstanten!$G$4*E$5^Konstanten!$H$4*(Konstanten!$C$4-F$4^Konstanten!$I$4*Konstanten!$D$4)</f>
        <v>2133.2478663120846</v>
      </c>
      <c r="F17" s="28">
        <f>Konstanten!$C$23*(((($E$3+$F$3)*Konstanten!$I$23+$G$3)/(Konstanten!$I$23+2))^Konstanten!$D$23*$D17^Konstanten!$E$23*ABS($F$4)^Konstanten!$F$23+Konstanten!$H$23*($D17*$A17)^Konstanten!$G$23)</f>
        <v>47.863119318588915</v>
      </c>
      <c r="G17" s="37">
        <f>3.6*E17/(F$4*Konstanten!$K$3)</f>
        <v>183.40731713200071</v>
      </c>
      <c r="H17" s="40">
        <f t="shared" si="10"/>
        <v>13.186996919560849</v>
      </c>
      <c r="I17" s="23">
        <f>J$5^Konstanten!$E$4*$A17*$D17^Konstanten!$F$4*J$4^Konstanten!$G$4*I$5^Konstanten!$H$4*(Konstanten!$C$4-J$4^Konstanten!$I$4*Konstanten!$D$4)</f>
        <v>1770.6709373740509</v>
      </c>
      <c r="J17" s="28">
        <f>Konstanten!$C$23*(((($I$3+$J$3)*Konstanten!$I$23+$K$3)/(Konstanten!$I$23+2))^Konstanten!$D$23*$D17^Konstanten!$E$23*ABS($J$4)^Konstanten!$F$23+Konstanten!$H$23*($D17*$A17)^Konstanten!$G$23)</f>
        <v>45.059371338702448</v>
      </c>
      <c r="K17" s="37">
        <f>3.6*I17/(J$4*Konstanten!$K$3)</f>
        <v>101.48969286874531</v>
      </c>
      <c r="L17" s="40">
        <f t="shared" si="11"/>
        <v>4.6184289459825116</v>
      </c>
      <c r="M17" s="23">
        <f>IF(M$7="trocken",N17,IF(Konstanten!$A$18*(N$6^Konstanten!$B$18*N$5^Konstanten!$C$18*N17^Konstanten!$D$18*M$5^Konstanten!$E$18+N$4^Konstanten!$F$18)&lt;1,N17,N17*Konstanten!$A$18*(N$6^Konstanten!$B$18*N$5^Konstanten!$C$18*N17^Konstanten!$D$18*M$5^Konstanten!$E$18+N$4^Konstanten!$F$18)))</f>
        <v>849.33718889520844</v>
      </c>
      <c r="N17" s="23">
        <f>N$5^Konstanten!$E$6*$A17*$D17^Konstanten!$F$6*N$4^Konstanten!$G$6*M$5^Konstanten!$H$6*(Konstanten!$C$6-N$4^Konstanten!$I$6*Konstanten!$D$6)</f>
        <v>673.29793269807044</v>
      </c>
      <c r="O17" s="28">
        <f>Konstanten!$C$25*(((($M$3+$N$3)*Konstanten!$I$25+$O$3)/(Konstanten!$I$25+2))^Konstanten!$D$25*$D17^Konstanten!$E$25*ABS($N$4)^Konstanten!$F$25+Konstanten!$H$25*($D17*$A17)^Konstanten!$G$25)</f>
        <v>14.536935729158614</v>
      </c>
      <c r="P17" s="37">
        <f>3.6*M17/(N$4*Konstanten!$K$3)</f>
        <v>104.31756438867191</v>
      </c>
      <c r="Q17" s="40">
        <f t="shared" si="12"/>
        <v>6.0592582376099182</v>
      </c>
      <c r="R17" s="68">
        <f t="shared" si="0"/>
        <v>0.28078924338045935</v>
      </c>
      <c r="S17" s="23">
        <f>IF(S$7="trocken",T17,IF(Konstanten!$A$18*(T$6^Konstanten!$B$18*T$5^Konstanten!$C$18*T17^Konstanten!$D$18*S$5^Konstanten!$E$18+T$4^Konstanten!$F$18)&lt;1,T17,T17*Konstanten!$A$18*(T$6^Konstanten!$B$18*T$5^Konstanten!$C$18*T17^Konstanten!$D$18*S$5^Konstanten!$E$18+T$4^Konstanten!$F$18)))</f>
        <v>523.56492384637829</v>
      </c>
      <c r="T17" s="23">
        <f>T$5^Konstanten!$E$6*$A17*$D17^Konstanten!$F$6*T$4^Konstanten!$G$6*S$5^Konstanten!$H$6*(Konstanten!$C$6-T$4^Konstanten!$I$6*Konstanten!$D$6)</f>
        <v>523.56492384637829</v>
      </c>
      <c r="U17" s="28">
        <f>Konstanten!$C$25*(((($S$3+$T$3)*Konstanten!$I$25+$U$3)/(Konstanten!$I$25+2))^Konstanten!$D$25*$D17^Konstanten!$E$25*ABS($T$4)^Konstanten!$F$25+Konstanten!$H$25*($D17*$A17)^Konstanten!$G$25)</f>
        <v>18.748623194029108</v>
      </c>
      <c r="V17" s="37">
        <f>3.6*S17/(T$4*Konstanten!$K$3)</f>
        <v>225.06910599444703</v>
      </c>
      <c r="W17" s="40">
        <f t="shared" si="13"/>
        <v>23.691610316151955</v>
      </c>
      <c r="X17" s="68">
        <f t="shared" si="1"/>
        <v>0</v>
      </c>
      <c r="Y17" s="46">
        <f t="shared" si="6"/>
        <v>240</v>
      </c>
      <c r="Z17" s="46">
        <v>240</v>
      </c>
      <c r="AA17" s="98">
        <f t="shared" si="7"/>
        <v>30</v>
      </c>
      <c r="AB17" s="98">
        <v>38</v>
      </c>
      <c r="AC17" s="75">
        <f t="shared" si="8"/>
        <v>38</v>
      </c>
    </row>
    <row r="18" spans="1:29" x14ac:dyDescent="0.3">
      <c r="A18">
        <v>710</v>
      </c>
      <c r="B18" s="50">
        <v>1200</v>
      </c>
      <c r="C18" s="65">
        <v>40</v>
      </c>
      <c r="D18" s="27">
        <f t="shared" si="9"/>
        <v>565</v>
      </c>
      <c r="E18" s="23">
        <f>F$5^Konstanten!$E$4*$A18*$D18^Konstanten!$F$4*F$4^Konstanten!$G$4*E$5^Konstanten!$H$4*(Konstanten!$C$4-F$4^Konstanten!$I$4*Konstanten!$D$4)</f>
        <v>1415.8120066392548</v>
      </c>
      <c r="F18" s="28">
        <f>Konstanten!$C$23*(((($E$3+$F$3)*Konstanten!$I$23+$G$3)/(Konstanten!$I$23+2))^Konstanten!$D$23*$D18^Konstanten!$E$23*ABS($F$4)^Konstanten!$F$23+Konstanten!$H$23*($D18*$A18)^Konstanten!$G$23)</f>
        <v>50.032399580557325</v>
      </c>
      <c r="G18" s="37">
        <f>3.6*E18/(F$4*Konstanten!$K$3)</f>
        <v>121.72532118824653</v>
      </c>
      <c r="H18" s="40">
        <f t="shared" si="10"/>
        <v>6.3751228385226897</v>
      </c>
      <c r="I18" s="23">
        <f>J$5^Konstanten!$E$4*$A18*$D18^Konstanten!$F$4*J$4^Konstanten!$G$4*I$5^Konstanten!$H$4*(Konstanten!$C$4-J$4^Konstanten!$I$4*Konstanten!$D$4)</f>
        <v>1175.1738804151753</v>
      </c>
      <c r="J18" s="28">
        <f>Konstanten!$C$23*(((($I$3+$J$3)*Konstanten!$I$23+$K$3)/(Konstanten!$I$23+2))^Konstanten!$D$23*$D18^Konstanten!$E$23*ABS($J$4)^Konstanten!$F$23+Konstanten!$H$23*($D18*$A18)^Konstanten!$G$23)</f>
        <v>47.086232294867287</v>
      </c>
      <c r="K18" s="37">
        <f>3.6*I18/(J$4*Konstanten!$K$3)</f>
        <v>67.357538700886579</v>
      </c>
      <c r="L18" s="40">
        <f t="shared" si="11"/>
        <v>2.2327336565881191</v>
      </c>
      <c r="M18" s="23">
        <f>IF(M$7="trocken",N18,IF(Konstanten!$A$18*(N$6^Konstanten!$B$18*N$5^Konstanten!$C$18*N18^Konstanten!$D$18*M$5^Konstanten!$E$18+N$4^Konstanten!$F$18)&lt;1,N18,N18*Konstanten!$A$18*(N$6^Konstanten!$B$18*N$5^Konstanten!$C$18*N18^Konstanten!$D$18*M$5^Konstanten!$E$18+N$4^Konstanten!$F$18)))</f>
        <v>492.28486891782904</v>
      </c>
      <c r="N18" s="23">
        <f>N$5^Konstanten!$E$6*$A18*$D18^Konstanten!$F$6*N$4^Konstanten!$G$6*M$5^Konstanten!$H$6*(Konstanten!$C$6-N$4^Konstanten!$I$6*Konstanten!$D$6)</f>
        <v>383.73181943771704</v>
      </c>
      <c r="O18" s="28">
        <f>Konstanten!$C$25*(((($M$3+$N$3)*Konstanten!$I$25+$O$3)/(Konstanten!$I$25+2))^Konstanten!$D$25*$D18^Konstanten!$E$25*ABS($N$4)^Konstanten!$F$25+Konstanten!$H$25*($D18*$A18)^Konstanten!$G$25)</f>
        <v>13.817370407031593</v>
      </c>
      <c r="P18" s="37">
        <f>3.6*M18/(N$4*Konstanten!$K$3)</f>
        <v>60.463569925278065</v>
      </c>
      <c r="Q18" s="40">
        <f t="shared" si="12"/>
        <v>2.3036305652929792</v>
      </c>
      <c r="R18" s="68">
        <f t="shared" si="0"/>
        <v>0.17314620209499479</v>
      </c>
      <c r="S18" s="23">
        <f>IF(S$7="trocken",T18,IF(Konstanten!$A$18*(T$6^Konstanten!$B$18*T$5^Konstanten!$C$18*T18^Konstanten!$D$18*S$5^Konstanten!$E$18+T$4^Konstanten!$F$18)&lt;1,T18,T18*Konstanten!$A$18*(T$6^Konstanten!$B$18*T$5^Konstanten!$C$18*T18^Konstanten!$D$18*S$5^Konstanten!$E$18+T$4^Konstanten!$F$18)))</f>
        <v>298.39467947903921</v>
      </c>
      <c r="T18" s="23">
        <f>T$5^Konstanten!$E$6*$A18*$D18^Konstanten!$F$6*T$4^Konstanten!$G$6*S$5^Konstanten!$H$6*(Konstanten!$C$6-T$4^Konstanten!$I$6*Konstanten!$D$6)</f>
        <v>298.39467947903921</v>
      </c>
      <c r="U18" s="28">
        <f>Konstanten!$C$25*(((($S$3+$T$3)*Konstanten!$I$25+$U$3)/(Konstanten!$I$25+2))^Konstanten!$D$25*$D18^Konstanten!$E$25*ABS($T$4)^Konstanten!$F$25+Konstanten!$H$25*($D18*$A18)^Konstanten!$G$25)</f>
        <v>17.820352706592583</v>
      </c>
      <c r="V18" s="37">
        <f>3.6*S18/(T$4*Konstanten!$K$3)</f>
        <v>128.27334430744349</v>
      </c>
      <c r="W18" s="40">
        <f t="shared" si="13"/>
        <v>8.742095524880785</v>
      </c>
      <c r="X18" s="68">
        <f t="shared" si="1"/>
        <v>0</v>
      </c>
      <c r="Y18" s="46">
        <f t="shared" si="6"/>
        <v>150</v>
      </c>
      <c r="Z18" s="46">
        <v>150</v>
      </c>
      <c r="AA18" s="98">
        <f t="shared" si="7"/>
        <v>17.7</v>
      </c>
      <c r="AB18" s="98">
        <v>25.7</v>
      </c>
      <c r="AC18" s="75" t="str">
        <f t="shared" si="8"/>
        <v>&lt; 28 dB(A)</v>
      </c>
    </row>
    <row r="19" spans="1:29" x14ac:dyDescent="0.3">
      <c r="A19" s="22">
        <v>710</v>
      </c>
      <c r="B19" s="51">
        <v>1200</v>
      </c>
      <c r="C19" s="66">
        <v>20</v>
      </c>
      <c r="D19" s="78">
        <f t="shared" si="9"/>
        <v>300</v>
      </c>
      <c r="E19" s="24">
        <f>F$5^Konstanten!$E$4*$A19*$D19^Konstanten!$F$4*F$4^Konstanten!$G$4*E$5^Konstanten!$H$4*(Konstanten!$C$4-F$4^Konstanten!$I$4*Konstanten!$D$4)</f>
        <v>721.04541627716151</v>
      </c>
      <c r="F19" s="29">
        <f>Konstanten!$C$23*(((($E$3+$F$3)*Konstanten!$I$23+$G$3)/(Konstanten!$I$23+2))^Konstanten!$D$23*$D19^Konstanten!$E$23*ABS($F$4)^Konstanten!$F$23+Konstanten!$H$23*($D19*$A19)^Konstanten!$G$23)</f>
        <v>53.863146687149062</v>
      </c>
      <c r="G19" s="38">
        <f>3.6*E19/(F$4*Konstanten!$K$3)</f>
        <v>61.992329826324067</v>
      </c>
      <c r="H19" s="41">
        <f t="shared" si="10"/>
        <v>1.9271848388779484</v>
      </c>
      <c r="I19" s="24">
        <f>J$5^Konstanten!$E$4*$A19*$D19^Konstanten!$F$4*J$4^Konstanten!$G$4*I$5^Konstanten!$H$4*(Konstanten!$C$4-J$4^Konstanten!$I$4*Konstanten!$D$4)</f>
        <v>598.49311619654236</v>
      </c>
      <c r="J19" s="29">
        <f>Konstanten!$C$23*(((($I$3+$J$3)*Konstanten!$I$23+$K$3)/(Konstanten!$I$23+2))^Konstanten!$D$23*$D19^Konstanten!$E$23*ABS($J$4)^Konstanten!$F$23+Konstanten!$H$23*($D19*$A19)^Konstanten!$G$23)</f>
        <v>50.666635173507558</v>
      </c>
      <c r="K19" s="38">
        <f>3.6*I19/(J$4*Konstanten!$K$3)</f>
        <v>34.303879543494183</v>
      </c>
      <c r="L19" s="41">
        <f t="shared" si="11"/>
        <v>0.67495020272052697</v>
      </c>
      <c r="M19" s="24">
        <f>IF(M$7="trocken",N19,IF(Konstanten!$A$18*(N$6^Konstanten!$B$18*N$5^Konstanten!$C$18*N19^Konstanten!$D$18*M$5^Konstanten!$E$18+N$4^Konstanten!$F$18)&lt;1,N19,N19*Konstanten!$A$18*(N$6^Konstanten!$B$18*N$5^Konstanten!$C$18*N19^Konstanten!$D$18*M$5^Konstanten!$E$18+N$4^Konstanten!$F$18)))</f>
        <v>200.61042467645973</v>
      </c>
      <c r="N19" s="24">
        <f>N$5^Konstanten!$E$6*$A19*$D19^Konstanten!$F$6*N$4^Konstanten!$G$6*M$5^Konstanten!$H$6*(Konstanten!$C$6-N$4^Konstanten!$I$6*Konstanten!$D$6)</f>
        <v>152.09455751760407</v>
      </c>
      <c r="O19" s="29">
        <f>Konstanten!$C$25*(((($M$3+$N$3)*Konstanten!$I$25+$O$3)/(Konstanten!$I$25+2))^Konstanten!$D$25*$D19^Konstanten!$E$25*ABS($N$4)^Konstanten!$F$25+Konstanten!$H$25*($D19*$A19)^Konstanten!$G$25)</f>
        <v>12.709924457245943</v>
      </c>
      <c r="P19" s="38">
        <f>3.6*M19/(N$4*Konstanten!$K$3)</f>
        <v>24.639437866186984</v>
      </c>
      <c r="Q19" s="41">
        <f t="shared" si="12"/>
        <v>0.46892974143466498</v>
      </c>
      <c r="R19" s="69">
        <f t="shared" si="0"/>
        <v>7.7384635255596079E-2</v>
      </c>
      <c r="S19" s="24">
        <f>IF(S$7="trocken",T19,IF(Konstanten!$A$18*(T$6^Konstanten!$B$18*T$5^Konstanten!$C$18*T19^Konstanten!$D$18*S$5^Konstanten!$E$18+T$4^Konstanten!$F$18)&lt;1,T19,T19*Konstanten!$A$18*(T$6^Konstanten!$B$18*T$5^Konstanten!$C$18*T19^Konstanten!$D$18*S$5^Konstanten!$E$18+T$4^Konstanten!$F$18)))</f>
        <v>118.27063704926351</v>
      </c>
      <c r="T19" s="24">
        <f>T$5^Konstanten!$E$6*$A19*$D19^Konstanten!$F$6*T$4^Konstanten!$G$6*S$5^Konstanten!$H$6*(Konstanten!$C$6-T$4^Konstanten!$I$6*Konstanten!$D$6)</f>
        <v>118.27063704926351</v>
      </c>
      <c r="U19" s="29">
        <f>Konstanten!$C$25*(((($S$3+$T$3)*Konstanten!$I$25+$U$3)/(Konstanten!$I$25+2))^Konstanten!$D$25*$D19^Konstanten!$E$25*ABS($T$4)^Konstanten!$F$25+Konstanten!$H$25*($D19*$A19)^Konstanten!$G$25)</f>
        <v>16.39166233829868</v>
      </c>
      <c r="V19" s="38">
        <f>3.6*S19/(T$4*Konstanten!$K$3)</f>
        <v>50.841959294205687</v>
      </c>
      <c r="W19" s="41">
        <f t="shared" si="13"/>
        <v>1.6941091817614955</v>
      </c>
      <c r="X19" s="69">
        <f t="shared" si="1"/>
        <v>0</v>
      </c>
      <c r="Y19" s="47">
        <f t="shared" si="6"/>
        <v>55</v>
      </c>
      <c r="Z19" s="47">
        <v>55</v>
      </c>
      <c r="AA19" s="99">
        <f t="shared" si="7"/>
        <v>13.600000000000001</v>
      </c>
      <c r="AB19" s="99">
        <v>21.6</v>
      </c>
      <c r="AC19" s="75" t="str">
        <f t="shared" si="8"/>
        <v>&lt; 28 dB(A)</v>
      </c>
    </row>
    <row r="20" spans="1:29" x14ac:dyDescent="0.3">
      <c r="A20" s="32">
        <v>1130</v>
      </c>
      <c r="B20" s="49">
        <v>1700</v>
      </c>
      <c r="C20" s="64">
        <v>100</v>
      </c>
      <c r="D20" s="53">
        <f t="shared" si="9"/>
        <v>1350</v>
      </c>
      <c r="E20" s="33">
        <f>F$5^Konstanten!$E$4*$A20*$D20^Konstanten!$F$4*F$4^Konstanten!$G$4*E$5^Konstanten!$H$4*(Konstanten!$C$4-F$4^Konstanten!$I$4*Konstanten!$D$4)</f>
        <v>5702.133239376758</v>
      </c>
      <c r="F20" s="34">
        <f>Konstanten!$C$23*(((($E$3+$F$3)*Konstanten!$I$23+$G$3)/(Konstanten!$I$23+2))^Konstanten!$D$23*$D20^Konstanten!$E$23*ABS($F$4)^Konstanten!$F$23+Konstanten!$H$23*($D20*$A20)^Konstanten!$G$23)</f>
        <v>45.408702288294158</v>
      </c>
      <c r="G20" s="36">
        <f>3.6*E20/(F$4*Konstanten!$K$3)</f>
        <v>490.24446520191566</v>
      </c>
      <c r="H20" s="39">
        <f xml:space="preserve"> 0.00028227*G20^1.7599</f>
        <v>15.329289729883108</v>
      </c>
      <c r="I20" s="33">
        <f>J$5^Konstanten!$E$4*$A20*$D20^Konstanten!$F$4*J$4^Konstanten!$G$4*I$5^Konstanten!$H$4*(Konstanten!$C$4-J$4^Konstanten!$I$4*Konstanten!$D$4)</f>
        <v>4732.9716192116848</v>
      </c>
      <c r="J20" s="34">
        <f>Konstanten!$C$23*(((($I$3+$J$3)*Konstanten!$I$23+$K$3)/(Konstanten!$I$23+2))^Konstanten!$D$23*$D20^Konstanten!$E$23*ABS($J$4)^Konstanten!$F$23+Konstanten!$H$23*($D20*$A20)^Konstanten!$G$23)</f>
        <v>42.775265459400501</v>
      </c>
      <c r="K20" s="36">
        <f>3.6*I20/(J$4*Konstanten!$K$3)</f>
        <v>271.28012656188383</v>
      </c>
      <c r="L20" s="39">
        <f xml:space="preserve"> 0.00028227*K20^1.7599</f>
        <v>5.410495313201082</v>
      </c>
      <c r="M20" s="33">
        <f>IF(M$7="trocken",N20,IF(Konstanten!$A$18*(N$6^Konstanten!$B$18*N$5^Konstanten!$C$18*N20^Konstanten!$D$18*M$5^Konstanten!$E$18+N$4^Konstanten!$F$18)&lt;1,N20,N20*Konstanten!$A$18*(N$6^Konstanten!$B$18*N$5^Konstanten!$C$18*N20^Konstanten!$D$18*M$5^Konstanten!$E$18+N$4^Konstanten!$F$18)))</f>
        <v>2657.3470244728578</v>
      </c>
      <c r="N20" s="33">
        <f>N$5^Konstanten!$E$6*$A20*$D20^Konstanten!$F$6*N$4^Konstanten!$G$6*M$5^Konstanten!$H$6*(Konstanten!$C$6-N$4^Konstanten!$I$6*Konstanten!$D$6)</f>
        <v>2182.0292596035088</v>
      </c>
      <c r="O20" s="34">
        <f>Konstanten!$C$25*(((($M$3+$N$3)*Konstanten!$I$25+$O$3)/(Konstanten!$I$25+2))^Konstanten!$D$25*$D20^Konstanten!$E$25*ABS($N$4)^Konstanten!$F$25+Konstanten!$H$25*($D20*$A20)^Konstanten!$G$25)</f>
        <v>15.500600615818687</v>
      </c>
      <c r="P20" s="36">
        <f>3.6*M20/(N$4*Konstanten!$K$3)</f>
        <v>326.38152779943221</v>
      </c>
      <c r="Q20" s="39">
        <f>0.00032601*P20^1.7733</f>
        <v>9.3501908799874442</v>
      </c>
      <c r="R20" s="67">
        <f t="shared" si="0"/>
        <v>0.75814973572426081</v>
      </c>
      <c r="S20" s="33">
        <f>IF(S$7="trocken",T20,IF(Konstanten!$A$18*(T$6^Konstanten!$B$18*T$5^Konstanten!$C$18*T20^Konstanten!$D$18*S$5^Konstanten!$E$18+T$4^Konstanten!$F$18)&lt;1,T20,T20*Konstanten!$A$18*(T$6^Konstanten!$B$18*T$5^Konstanten!$C$18*T20^Konstanten!$D$18*S$5^Konstanten!$E$18+T$4^Konstanten!$F$18)))</f>
        <v>1696.7733415679238</v>
      </c>
      <c r="T20" s="33">
        <f>T$5^Konstanten!$E$6*$A20*$D20^Konstanten!$F$6*T$4^Konstanten!$G$6*S$5^Konstanten!$H$6*(Konstanten!$C$6-T$4^Konstanten!$I$6*Konstanten!$D$6)</f>
        <v>1696.7733415679238</v>
      </c>
      <c r="U20" s="34">
        <f>Konstanten!$C$25*(((($S$3+$T$3)*Konstanten!$I$25+$U$3)/(Konstanten!$I$25+2))^Konstanten!$D$25*$D20^Konstanten!$E$25*ABS($T$4)^Konstanten!$F$25+Konstanten!$H$25*($D20*$A20)^Konstanten!$G$25)</f>
        <v>19.991909664009171</v>
      </c>
      <c r="V20" s="36">
        <f>3.6*S20/(T$4*Konstanten!$K$3)</f>
        <v>729.40573684030005</v>
      </c>
      <c r="W20" s="39">
        <f>0.00032601*V20^1.7733</f>
        <v>38.916534480779049</v>
      </c>
      <c r="X20" s="67">
        <f t="shared" si="1"/>
        <v>0</v>
      </c>
      <c r="Y20" s="45">
        <f t="shared" si="6"/>
        <v>660</v>
      </c>
      <c r="Z20" s="45">
        <v>660</v>
      </c>
      <c r="AA20" s="100">
        <f t="shared" si="7"/>
        <v>47.7</v>
      </c>
      <c r="AB20" s="100">
        <v>55.7</v>
      </c>
      <c r="AC20" s="75">
        <f t="shared" si="8"/>
        <v>55.7</v>
      </c>
    </row>
    <row r="21" spans="1:29" x14ac:dyDescent="0.3">
      <c r="A21">
        <v>1130</v>
      </c>
      <c r="B21" s="50">
        <v>1700</v>
      </c>
      <c r="C21" s="65">
        <v>80</v>
      </c>
      <c r="D21" s="27">
        <f t="shared" si="9"/>
        <v>1090</v>
      </c>
      <c r="E21" s="23">
        <f>F$5^Konstanten!$E$4*$A21*$D21^Konstanten!$F$4*F$4^Konstanten!$G$4*E$5^Konstanten!$H$4*(Konstanten!$C$4-F$4^Konstanten!$I$4*Konstanten!$D$4)</f>
        <v>4539.5013724583687</v>
      </c>
      <c r="F21" s="28">
        <f>Konstanten!$C$23*(((($E$3+$F$3)*Konstanten!$I$23+$G$3)/(Konstanten!$I$23+2))^Konstanten!$D$23*$D21^Konstanten!$E$23*ABS($F$4)^Konstanten!$F$23+Konstanten!$H$23*($D21*$A21)^Konstanten!$G$23)</f>
        <v>46.520845415269818</v>
      </c>
      <c r="G21" s="37">
        <f>3.6*E21/(F$4*Konstanten!$K$3)</f>
        <v>390.2864645911813</v>
      </c>
      <c r="H21" s="40">
        <f t="shared" ref="H21:H24" si="14" xml:space="preserve"> 0.00028227*G21^1.7599</f>
        <v>10.262201246909568</v>
      </c>
      <c r="I21" s="23">
        <f>J$5^Konstanten!$E$4*$A21*$D21^Konstanten!$F$4*J$4^Konstanten!$G$4*I$5^Konstanten!$H$4*(Konstanten!$C$4-J$4^Konstanten!$I$4*Konstanten!$D$4)</f>
        <v>3767.9461807115349</v>
      </c>
      <c r="J21" s="28">
        <f>Konstanten!$C$23*(((($I$3+$J$3)*Konstanten!$I$23+$K$3)/(Konstanten!$I$23+2))^Konstanten!$D$23*$D21^Konstanten!$E$23*ABS($J$4)^Konstanten!$F$23+Konstanten!$H$23*($D21*$A21)^Konstanten!$G$23)</f>
        <v>43.813821150829725</v>
      </c>
      <c r="K21" s="37">
        <f>3.6*I21/(J$4*Konstanten!$K$3)</f>
        <v>215.96768352311452</v>
      </c>
      <c r="L21" s="40">
        <f t="shared" ref="L21:L24" si="15" xml:space="preserve"> 0.00028227*K21^1.7599</f>
        <v>3.6220589947681683</v>
      </c>
      <c r="M21" s="23">
        <f>IF(M$7="trocken",N21,IF(Konstanten!$A$18*(N$6^Konstanten!$B$18*N$5^Konstanten!$C$18*N21^Konstanten!$D$18*M$5^Konstanten!$E$18+N$4^Konstanten!$F$18)&lt;1,N21,N21*Konstanten!$A$18*(N$6^Konstanten!$B$18*N$5^Konstanten!$C$18*N21^Konstanten!$D$18*M$5^Konstanten!$E$18+N$4^Konstanten!$F$18)))</f>
        <v>1961.9652282025752</v>
      </c>
      <c r="N21" s="23">
        <f>N$5^Konstanten!$E$6*$A21*$D21^Konstanten!$F$6*N$4^Konstanten!$G$6*M$5^Konstanten!$H$6*(Konstanten!$C$6-N$4^Konstanten!$I$6*Konstanten!$D$6)</f>
        <v>1596.0264391518758</v>
      </c>
      <c r="O21" s="28">
        <f>Konstanten!$C$25*(((($M$3+$N$3)*Konstanten!$I$25+$O$3)/(Konstanten!$I$25+2))^Konstanten!$D$25*$D21^Konstanten!$E$25*ABS($N$4)^Konstanten!$F$25+Konstanten!$H$25*($D21*$A21)^Konstanten!$G$25)</f>
        <v>15.068907198460646</v>
      </c>
      <c r="P21" s="37">
        <f>3.6*M21/(N$4*Konstanten!$K$3)</f>
        <v>240.97312197948449</v>
      </c>
      <c r="Q21" s="40">
        <f t="shared" ref="Q21:Q24" si="16">0.00032601*P21^1.7733</f>
        <v>5.4597888561801931</v>
      </c>
      <c r="R21" s="68">
        <f t="shared" si="0"/>
        <v>0.58368615001440749</v>
      </c>
      <c r="S21" s="23">
        <f>IF(S$7="trocken",T21,IF(Konstanten!$A$18*(T$6^Konstanten!$B$18*T$5^Konstanten!$C$18*T21^Konstanten!$D$18*S$5^Konstanten!$E$18+T$4^Konstanten!$F$18)&lt;1,T21,T21*Konstanten!$A$18*(T$6^Konstanten!$B$18*T$5^Konstanten!$C$18*T21^Konstanten!$D$18*S$5^Konstanten!$E$18+T$4^Konstanten!$F$18)))</f>
        <v>1241.0901927513862</v>
      </c>
      <c r="T21" s="23">
        <f>T$5^Konstanten!$E$6*$A21*$D21^Konstanten!$F$6*T$4^Konstanten!$G$6*S$5^Konstanten!$H$6*(Konstanten!$C$6-T$4^Konstanten!$I$6*Konstanten!$D$6)</f>
        <v>1241.0901927513862</v>
      </c>
      <c r="U21" s="28">
        <f>Konstanten!$C$25*(((($S$3+$T$3)*Konstanten!$I$25+$U$3)/(Konstanten!$I$25+2))^Konstanten!$D$25*$D21^Konstanten!$E$25*ABS($T$4)^Konstanten!$F$25+Konstanten!$H$25*($D21*$A21)^Konstanten!$G$25)</f>
        <v>19.435025741608847</v>
      </c>
      <c r="V21" s="37">
        <f>3.6*S21/(T$4*Konstanten!$K$3)</f>
        <v>533.51752078599964</v>
      </c>
      <c r="W21" s="40">
        <f t="shared" ref="W21:W24" si="17">0.00032601*V21^1.7733</f>
        <v>22.350316997403485</v>
      </c>
      <c r="X21" s="68">
        <f t="shared" si="1"/>
        <v>0</v>
      </c>
      <c r="Y21" s="46">
        <f t="shared" si="6"/>
        <v>520</v>
      </c>
      <c r="Z21" s="46">
        <v>520</v>
      </c>
      <c r="AA21" s="98">
        <f t="shared" si="7"/>
        <v>40.6</v>
      </c>
      <c r="AB21" s="98">
        <v>48.6</v>
      </c>
      <c r="AC21" s="75">
        <f t="shared" si="8"/>
        <v>48.6</v>
      </c>
    </row>
    <row r="22" spans="1:29" x14ac:dyDescent="0.3">
      <c r="A22">
        <v>1130</v>
      </c>
      <c r="B22" s="50">
        <v>1700</v>
      </c>
      <c r="C22" s="65">
        <v>60</v>
      </c>
      <c r="D22" s="27">
        <f t="shared" si="9"/>
        <v>830</v>
      </c>
      <c r="E22" s="23">
        <f>F$5^Konstanten!$E$4*$A22*$D22^Konstanten!$F$4*F$4^Konstanten!$G$4*E$5^Konstanten!$H$4*(Konstanten!$C$4-F$4^Konstanten!$I$4*Konstanten!$D$4)</f>
        <v>3395.1691393417686</v>
      </c>
      <c r="F22" s="28">
        <f>Konstanten!$C$23*(((($E$3+$F$3)*Konstanten!$I$23+$G$3)/(Konstanten!$I$23+2))^Konstanten!$D$23*$D22^Konstanten!$E$23*ABS($F$4)^Konstanten!$F$23+Konstanten!$H$23*($D22*$A22)^Konstanten!$G$23)</f>
        <v>47.986559839358833</v>
      </c>
      <c r="G22" s="37">
        <f>3.6*E22/(F$4*Konstanten!$K$3)</f>
        <v>291.90178642135322</v>
      </c>
      <c r="H22" s="40">
        <f t="shared" si="14"/>
        <v>6.1550967604811264</v>
      </c>
      <c r="I22" s="23">
        <f>J$5^Konstanten!$E$4*$A22*$D22^Konstanten!$F$4*J$4^Konstanten!$G$4*I$5^Konstanten!$H$4*(Konstanten!$C$4-J$4^Konstanten!$I$4*Konstanten!$D$4)</f>
        <v>2818.1100834263066</v>
      </c>
      <c r="J22" s="28">
        <f>Konstanten!$C$23*(((($I$3+$J$3)*Konstanten!$I$23+$K$3)/(Konstanten!$I$23+2))^Konstanten!$D$23*$D22^Konstanten!$E$23*ABS($J$4)^Konstanten!$F$23+Konstanten!$H$23*($D22*$A22)^Konstanten!$G$23)</f>
        <v>45.182811859472366</v>
      </c>
      <c r="K22" s="37">
        <f>3.6*I22/(J$4*Konstanten!$K$3)</f>
        <v>161.52584921363689</v>
      </c>
      <c r="L22" s="40">
        <f t="shared" si="15"/>
        <v>2.1724504371499136</v>
      </c>
      <c r="M22" s="23">
        <f>IF(M$7="trocken",N22,IF(Konstanten!$A$18*(N$6^Konstanten!$B$18*N$5^Konstanten!$C$18*N22^Konstanten!$D$18*M$5^Konstanten!$E$18+N$4^Konstanten!$F$18)&lt;1,N22,N22*Konstanten!$A$18*(N$6^Konstanten!$B$18*N$5^Konstanten!$C$18*N22^Konstanten!$D$18*M$5^Konstanten!$E$18+N$4^Konstanten!$F$18)))</f>
        <v>1333.0820726844793</v>
      </c>
      <c r="N22" s="23">
        <f>N$5^Konstanten!$E$6*$A22*$D22^Konstanten!$F$6*N$4^Konstanten!$G$6*M$5^Konstanten!$H$6*(Konstanten!$C$6-N$4^Konstanten!$I$6*Konstanten!$D$6)</f>
        <v>1071.5868506321406</v>
      </c>
      <c r="O22" s="28">
        <f>Konstanten!$C$25*(((($M$3+$N$3)*Konstanten!$I$25+$O$3)/(Konstanten!$I$25+2))^Konstanten!$D$25*$D22^Konstanten!$E$25*ABS($N$4)^Konstanten!$F$25+Konstanten!$H$25*($D22*$A22)^Konstanten!$G$25)</f>
        <v>14.536405265975782</v>
      </c>
      <c r="P22" s="37">
        <f>3.6*M22/(N$4*Konstanten!$K$3)</f>
        <v>163.73223352381092</v>
      </c>
      <c r="Q22" s="40">
        <f t="shared" si="16"/>
        <v>2.751408497279022</v>
      </c>
      <c r="R22" s="68">
        <f t="shared" si="0"/>
        <v>0.41709472724342905</v>
      </c>
      <c r="S22" s="23">
        <f>IF(S$7="trocken",T22,IF(Konstanten!$A$18*(T$6^Konstanten!$B$18*T$5^Konstanten!$C$18*T22^Konstanten!$D$18*S$5^Konstanten!$E$18+T$4^Konstanten!$F$18)&lt;1,T22,T22*Konstanten!$A$18*(T$6^Konstanten!$B$18*T$5^Konstanten!$C$18*T22^Konstanten!$D$18*S$5^Konstanten!$E$18+T$4^Konstanten!$F$18)))</f>
        <v>833.2793858400106</v>
      </c>
      <c r="T22" s="23">
        <f>T$5^Konstanten!$E$6*$A22*$D22^Konstanten!$F$6*T$4^Konstanten!$G$6*S$5^Konstanten!$H$6*(Konstanten!$C$6-T$4^Konstanten!$I$6*Konstanten!$D$6)</f>
        <v>833.2793858400106</v>
      </c>
      <c r="U22" s="28">
        <f>Konstanten!$C$25*(((($S$3+$T$3)*Konstanten!$I$25+$U$3)/(Konstanten!$I$25+2))^Konstanten!$D$25*$D22^Konstanten!$E$25*ABS($T$4)^Konstanten!$F$25+Konstanten!$H$25*($D22*$A22)^Konstanten!$G$25)</f>
        <v>18.748092730846277</v>
      </c>
      <c r="V22" s="37">
        <f>3.6*S22/(T$4*Konstanten!$K$3)</f>
        <v>358.20857714609178</v>
      </c>
      <c r="W22" s="40">
        <f t="shared" si="17"/>
        <v>11.027580994304977</v>
      </c>
      <c r="X22" s="68">
        <f t="shared" si="1"/>
        <v>0</v>
      </c>
      <c r="Y22" s="46">
        <f t="shared" si="6"/>
        <v>380</v>
      </c>
      <c r="Z22" s="46">
        <v>380</v>
      </c>
      <c r="AA22" s="98">
        <f t="shared" si="7"/>
        <v>31.9</v>
      </c>
      <c r="AB22" s="98">
        <v>39.9</v>
      </c>
      <c r="AC22" s="75">
        <f t="shared" si="8"/>
        <v>39.9</v>
      </c>
    </row>
    <row r="23" spans="1:29" x14ac:dyDescent="0.3">
      <c r="A23">
        <v>1130</v>
      </c>
      <c r="B23" s="50">
        <v>1700</v>
      </c>
      <c r="C23" s="65">
        <v>40</v>
      </c>
      <c r="D23" s="27">
        <f t="shared" si="9"/>
        <v>565</v>
      </c>
      <c r="E23" s="23">
        <f>F$5^Konstanten!$E$4*$A23*$D23^Konstanten!$F$4*F$4^Konstanten!$G$4*E$5^Konstanten!$H$4*(Konstanten!$C$4-F$4^Konstanten!$I$4*Konstanten!$D$4)</f>
        <v>2253.3346021159973</v>
      </c>
      <c r="F23" s="28">
        <f>Konstanten!$C$23*(((($E$3+$F$3)*Konstanten!$I$23+$G$3)/(Konstanten!$I$23+2))^Konstanten!$D$23*$D23^Konstanten!$E$23*ABS($F$4)^Konstanten!$F$23+Konstanten!$H$23*($D23*$A23)^Konstanten!$G$23)</f>
        <v>50.152049656147831</v>
      </c>
      <c r="G23" s="37">
        <f>3.6*E23/(F$4*Konstanten!$K$3)</f>
        <v>193.73184921509662</v>
      </c>
      <c r="H23" s="40">
        <f t="shared" si="14"/>
        <v>2.9916432644377533</v>
      </c>
      <c r="I23" s="23">
        <f>J$5^Konstanten!$E$4*$A23*$D23^Konstanten!$F$4*J$4^Konstanten!$G$4*I$5^Konstanten!$H$4*(Konstanten!$C$4-J$4^Konstanten!$I$4*Konstanten!$D$4)</f>
        <v>1870.3471617875325</v>
      </c>
      <c r="J23" s="28">
        <f>Konstanten!$C$23*(((($I$3+$J$3)*Konstanten!$I$23+$K$3)/(Konstanten!$I$23+2))^Konstanten!$D$23*$D23^Konstanten!$E$23*ABS($J$4)^Konstanten!$F$23+Konstanten!$H$23*($D23*$A23)^Konstanten!$G$23)</f>
        <v>47.205882370457793</v>
      </c>
      <c r="K23" s="37">
        <f>3.6*I23/(J$4*Konstanten!$K$3)</f>
        <v>107.20284328450964</v>
      </c>
      <c r="L23" s="40">
        <f t="shared" si="15"/>
        <v>1.055904881845654</v>
      </c>
      <c r="M23" s="23">
        <f>IF(M$7="trocken",N23,IF(Konstanten!$A$18*(N$6^Konstanten!$B$18*N$5^Konstanten!$C$18*N23^Konstanten!$D$18*M$5^Konstanten!$E$18+N$4^Konstanten!$F$18)&lt;1,N23,N23*Konstanten!$A$18*(N$6^Konstanten!$B$18*N$5^Konstanten!$C$18*N23^Konstanten!$D$18*M$5^Konstanten!$E$18+N$4^Konstanten!$F$18)))</f>
        <v>772.66203236777415</v>
      </c>
      <c r="N23" s="23">
        <f>N$5^Konstanten!$E$6*$A23*$D23^Konstanten!$F$6*N$4^Konstanten!$G$6*M$5^Konstanten!$H$6*(Konstanten!$C$6-N$4^Konstanten!$I$6*Konstanten!$D$6)</f>
        <v>610.72810699242291</v>
      </c>
      <c r="O23" s="28">
        <f>Konstanten!$C$25*(((($M$3+$N$3)*Konstanten!$I$25+$O$3)/(Konstanten!$I$25+2))^Konstanten!$D$25*$D23^Konstanten!$E$25*ABS($N$4)^Konstanten!$F$25+Konstanten!$H$25*($D23*$A23)^Konstanten!$G$25)</f>
        <v>13.816801020870276</v>
      </c>
      <c r="P23" s="37">
        <f>3.6*M23/(N$4*Konstanten!$K$3)</f>
        <v>94.900143742736915</v>
      </c>
      <c r="Q23" s="40">
        <f t="shared" si="16"/>
        <v>1.0459676741593984</v>
      </c>
      <c r="R23" s="68">
        <f t="shared" si="0"/>
        <v>0.25829070950432631</v>
      </c>
      <c r="S23" s="23">
        <f>IF(S$7="trocken",T23,IF(Konstanten!$A$18*(T$6^Konstanten!$B$18*T$5^Konstanten!$C$18*T23^Konstanten!$D$18*S$5^Konstanten!$E$18+T$4^Konstanten!$F$18)&lt;1,T23,T23*Konstanten!$A$18*(T$6^Konstanten!$B$18*T$5^Konstanten!$C$18*T23^Konstanten!$D$18*S$5^Konstanten!$E$18+T$4^Konstanten!$F$18)))</f>
        <v>474.9098419877667</v>
      </c>
      <c r="T23" s="23">
        <f>T$5^Konstanten!$E$6*$A23*$D23^Konstanten!$F$6*T$4^Konstanten!$G$6*S$5^Konstanten!$H$6*(Konstanten!$C$6-T$4^Konstanten!$I$6*Konstanten!$D$6)</f>
        <v>474.9098419877667</v>
      </c>
      <c r="U23" s="28">
        <f>Konstanten!$C$25*(((($S$3+$T$3)*Konstanten!$I$25+$U$3)/(Konstanten!$I$25+2))^Konstanten!$D$25*$D23^Konstanten!$E$25*ABS($T$4)^Konstanten!$F$25+Konstanten!$H$25*($D23*$A23)^Konstanten!$G$25)</f>
        <v>17.819783320431267</v>
      </c>
      <c r="V23" s="37">
        <f>3.6*S23/(T$4*Konstanten!$K$3)</f>
        <v>204.15335079917068</v>
      </c>
      <c r="W23" s="40">
        <f t="shared" si="17"/>
        <v>4.0688980217092485</v>
      </c>
      <c r="X23" s="68">
        <f t="shared" si="1"/>
        <v>0</v>
      </c>
      <c r="Y23" s="46">
        <f t="shared" si="6"/>
        <v>235</v>
      </c>
      <c r="Z23" s="46">
        <v>235</v>
      </c>
      <c r="AA23" s="98">
        <f t="shared" si="7"/>
        <v>19.600000000000001</v>
      </c>
      <c r="AB23" s="98">
        <v>27.6</v>
      </c>
      <c r="AC23" s="75" t="str">
        <f t="shared" si="8"/>
        <v>&lt; 28 dB(A)</v>
      </c>
    </row>
    <row r="24" spans="1:29" x14ac:dyDescent="0.3">
      <c r="A24" s="22">
        <v>1130</v>
      </c>
      <c r="B24" s="51">
        <v>1700</v>
      </c>
      <c r="C24" s="66">
        <v>20</v>
      </c>
      <c r="D24" s="78">
        <f t="shared" si="9"/>
        <v>300</v>
      </c>
      <c r="E24" s="24">
        <f>F$5^Konstanten!$E$4*$A24*$D24^Konstanten!$F$4*F$4^Konstanten!$G$4*E$5^Konstanten!$H$4*(Konstanten!$C$4-F$4^Konstanten!$I$4*Konstanten!$D$4)</f>
        <v>1147.5793244974543</v>
      </c>
      <c r="F24" s="29">
        <f>Konstanten!$C$23*(((($E$3+$F$3)*Konstanten!$I$23+$G$3)/(Konstanten!$I$23+2))^Konstanten!$D$23*$D24^Konstanten!$E$23*ABS($F$4)^Konstanten!$F$23+Konstanten!$H$23*($D24*$A24)^Konstanten!$G$23)</f>
        <v>53.976809547608696</v>
      </c>
      <c r="G24" s="38">
        <f>3.6*E24/(F$4*Konstanten!$K$3)</f>
        <v>98.663848878515779</v>
      </c>
      <c r="H24" s="41">
        <f t="shared" si="14"/>
        <v>0.91239622816662846</v>
      </c>
      <c r="I24" s="24">
        <f>J$5^Konstanten!$E$4*$A24*$D24^Konstanten!$F$4*J$4^Konstanten!$G$4*I$5^Konstanten!$H$4*(Konstanten!$C$4-J$4^Konstanten!$I$4*Konstanten!$D$4)</f>
        <v>952.53129760858144</v>
      </c>
      <c r="J24" s="29">
        <f>Konstanten!$C$23*(((($I$3+$J$3)*Konstanten!$I$23+$K$3)/(Konstanten!$I$23+2))^Konstanten!$D$23*$D24^Konstanten!$E$23*ABS($J$4)^Konstanten!$F$23+Konstanten!$H$23*($D24*$A24)^Konstanten!$G$23)</f>
        <v>50.780298033967192</v>
      </c>
      <c r="K24" s="38">
        <f>3.6*I24/(J$4*Konstanten!$K$3)</f>
        <v>54.596315329786513</v>
      </c>
      <c r="L24" s="41">
        <f t="shared" si="15"/>
        <v>0.32203158810773669</v>
      </c>
      <c r="M24" s="24">
        <f>IF(M$7="trocken",N24,IF(Konstanten!$A$18*(N$6^Konstanten!$B$18*N$5^Konstanten!$C$18*N24^Konstanten!$D$18*M$5^Konstanten!$E$18+N$4^Konstanten!$F$18)&lt;1,N24,N24*Konstanten!$A$18*(N$6^Konstanten!$B$18*N$5^Konstanten!$C$18*N24^Konstanten!$D$18*M$5^Konstanten!$E$18+N$4^Konstanten!$F$18)))</f>
        <v>314.8623127900392</v>
      </c>
      <c r="N24" s="24">
        <f>N$5^Konstanten!$E$6*$A24*$D24^Konstanten!$F$6*N$4^Konstanten!$G$6*M$5^Konstanten!$H$6*(Konstanten!$C$6-N$4^Konstanten!$I$6*Konstanten!$D$6)</f>
        <v>242.06598590829941</v>
      </c>
      <c r="O24" s="29">
        <f>Konstanten!$C$25*(((($M$3+$N$3)*Konstanten!$I$25+$O$3)/(Konstanten!$I$25+2))^Konstanten!$D$25*$D24^Konstanten!$E$25*ABS($N$4)^Konstanten!$F$25+Konstanten!$H$25*($D24*$A24)^Konstanten!$G$25)</f>
        <v>12.709284687825113</v>
      </c>
      <c r="P24" s="38">
        <f>3.6*M24/(N$4*Konstanten!$K$3)</f>
        <v>38.672119880639755</v>
      </c>
      <c r="Q24" s="41">
        <f t="shared" si="16"/>
        <v>0.21289416504357403</v>
      </c>
      <c r="R24" s="69">
        <f t="shared" si="0"/>
        <v>0.11611288293055527</v>
      </c>
      <c r="S24" s="24">
        <f>IF(S$7="trocken",T24,IF(Konstanten!$A$18*(T$6^Konstanten!$B$18*T$5^Konstanten!$C$18*T24^Konstanten!$D$18*S$5^Konstanten!$E$18+T$4^Konstanten!$F$18)&lt;1,T24,T24*Konstanten!$A$18*(T$6^Konstanten!$B$18*T$5^Konstanten!$C$18*T24^Konstanten!$D$18*S$5^Konstanten!$E$18+T$4^Konstanten!$F$18)))</f>
        <v>188.23354910657437</v>
      </c>
      <c r="T24" s="24">
        <f>T$5^Konstanten!$E$6*$A24*$D24^Konstanten!$F$6*T$4^Konstanten!$G$6*S$5^Konstanten!$H$6*(Konstanten!$C$6-T$4^Konstanten!$I$6*Konstanten!$D$6)</f>
        <v>188.23354910657437</v>
      </c>
      <c r="U24" s="29">
        <f>Konstanten!$C$25*(((($S$3+$T$3)*Konstanten!$I$25+$U$3)/(Konstanten!$I$25+2))^Konstanten!$D$25*$D24^Konstanten!$E$25*ABS($T$4)^Konstanten!$F$25+Konstanten!$H$25*($D24*$A24)^Konstanten!$G$25)</f>
        <v>16.391022568877847</v>
      </c>
      <c r="V24" s="38">
        <f>3.6*S24/(T$4*Konstanten!$K$3)</f>
        <v>80.917484510496394</v>
      </c>
      <c r="W24" s="41">
        <f t="shared" si="17"/>
        <v>0.78842876821969754</v>
      </c>
      <c r="X24" s="69">
        <f t="shared" si="1"/>
        <v>0</v>
      </c>
      <c r="Y24" s="47">
        <f t="shared" si="6"/>
        <v>90</v>
      </c>
      <c r="Z24" s="47">
        <v>90</v>
      </c>
      <c r="AA24" s="99">
        <f t="shared" si="7"/>
        <v>15.5</v>
      </c>
      <c r="AB24" s="99">
        <v>23.5</v>
      </c>
      <c r="AC24" s="75" t="str">
        <f t="shared" si="8"/>
        <v>&lt; 28 dB(A)</v>
      </c>
    </row>
    <row r="25" spans="1:29" x14ac:dyDescent="0.3">
      <c r="A25" s="32">
        <v>1340</v>
      </c>
      <c r="B25" s="49">
        <v>2000</v>
      </c>
      <c r="C25" s="64">
        <v>100</v>
      </c>
      <c r="D25" s="73">
        <f>D20</f>
        <v>1350</v>
      </c>
      <c r="E25" s="33">
        <f>F$5^Konstanten!$E$4*$A25*$D25^Konstanten!$F$4*F$4^Konstanten!$G$4*E$5^Konstanten!$H$4*(Konstanten!$C$4-F$4^Konstanten!$I$4*Konstanten!$D$4)</f>
        <v>6761.8217174910233</v>
      </c>
      <c r="F25" s="34">
        <f>Konstanten!$C$23*(((($E$3+$F$3)*Konstanten!$I$23+$G$3)/(Konstanten!$I$23+2))^Konstanten!$D$23*$D25^Konstanten!$E$23*ABS($F$4)^Konstanten!$F$23+Konstanten!$H$23*($D25*$A25)^Konstanten!$G$23)</f>
        <v>45.457027423744584</v>
      </c>
      <c r="G25" s="36">
        <f>3.6*E25/(F$4*Konstanten!$K$3)</f>
        <v>581.35184369076728</v>
      </c>
      <c r="H25" s="39">
        <f xml:space="preserve"> 0.00033778*G25^1.7661</f>
        <v>25.757858010926746</v>
      </c>
      <c r="I25" s="33">
        <f>J$5^Konstanten!$E$4*$A25*$D25^Konstanten!$F$4*J$4^Konstanten!$G$4*I$5^Konstanten!$H$4*(Konstanten!$C$4-J$4^Konstanten!$I$4*Konstanten!$D$4)</f>
        <v>5612.5504157023524</v>
      </c>
      <c r="J25" s="34">
        <f>Konstanten!$C$23*(((($I$3+$J$3)*Konstanten!$I$23+$K$3)/(Konstanten!$I$23+2))^Konstanten!$D$23*$D25^Konstanten!$E$23*ABS($J$4)^Konstanten!$F$23+Konstanten!$H$23*($D25*$A25)^Konstanten!$G$23)</f>
        <v>42.823590594850927</v>
      </c>
      <c r="K25" s="36">
        <f>3.6*I25/(J$4*Konstanten!$K$3)</f>
        <v>321.69501733887108</v>
      </c>
      <c r="L25" s="39">
        <f xml:space="preserve"> 0.00033778*K25^1.7661</f>
        <v>9.057980264462163</v>
      </c>
      <c r="M25" s="33">
        <f>IF(M$7="trocken",N25,IF(Konstanten!$A$18*(N$6^Konstanten!$B$18*N$5^Konstanten!$C$18*N25^Konstanten!$D$18*M$5^Konstanten!$E$18+N$4^Konstanten!$F$18)&lt;1,N25,N25*Konstanten!$A$18*(N$6^Konstanten!$B$18*N$5^Konstanten!$C$18*N25^Konstanten!$D$18*M$5^Konstanten!$E$18+N$4^Konstanten!$F$18)))</f>
        <v>3135.1655642516553</v>
      </c>
      <c r="N25" s="33">
        <f>N$5^Konstanten!$E$6*$A25*$D25^Konstanten!$F$6*N$4^Konstanten!$G$6*M$5^Konstanten!$H$6*(Konstanten!$C$6-N$4^Konstanten!$I$6*Konstanten!$D$6)</f>
        <v>2587.5391220077008</v>
      </c>
      <c r="O25" s="34">
        <f>Konstanten!$C$25*(((($M$3+$N$3)*Konstanten!$I$25+$O$3)/(Konstanten!$I$25+2))^Konstanten!$D$25*$D25^Konstanten!$E$25*ABS($N$4)^Konstanten!$F$25+Konstanten!$H$25*($D25*$A25)^Konstanten!$G$25)</f>
        <v>15.500432860770998</v>
      </c>
      <c r="P25" s="36">
        <f>3.6*M25/(N$4*Konstanten!$K$3)</f>
        <v>385.06830961139138</v>
      </c>
      <c r="Q25" s="39">
        <f>0.0003326*P25^1.8063</f>
        <v>15.566075556900385</v>
      </c>
      <c r="R25" s="67">
        <f t="shared" si="0"/>
        <v>0.87348479932575807</v>
      </c>
      <c r="S25" s="33">
        <f>IF(S$7="trocken",T25,IF(Konstanten!$A$18*(T$6^Konstanten!$B$18*T$5^Konstanten!$C$18*T25^Konstanten!$D$18*S$5^Konstanten!$E$18+T$4^Konstanten!$F$18)&lt;1,T25,T25*Konstanten!$A$18*(T$6^Konstanten!$B$18*T$5^Konstanten!$C$18*T25^Konstanten!$D$18*S$5^Konstanten!$E$18+T$4^Konstanten!$F$18)))</f>
        <v>2012.1029006203698</v>
      </c>
      <c r="T25" s="33">
        <f>T$5^Konstanten!$E$6*$A25*$D25^Konstanten!$F$6*T$4^Konstanten!$G$6*S$5^Konstanten!$H$6*(Konstanten!$C$6-T$4^Konstanten!$I$6*Konstanten!$D$6)</f>
        <v>2012.1029006203698</v>
      </c>
      <c r="U25" s="34">
        <f>Konstanten!$C$25*(((($S$3+$T$3)*Konstanten!$I$25+$U$3)/(Konstanten!$I$25+2))^Konstanten!$D$25*$D25^Konstanten!$E$25*ABS($T$4)^Konstanten!$F$25+Konstanten!$H$25*($D25*$A25)^Konstanten!$G$25)</f>
        <v>19.991741908961483</v>
      </c>
      <c r="V25" s="36">
        <f>3.6*S25/(T$4*Konstanten!$K$3)</f>
        <v>864.95901536814335</v>
      </c>
      <c r="W25" s="39">
        <f>0.0003326*V25^1.8063</f>
        <v>67.145555336094716</v>
      </c>
      <c r="X25" s="67">
        <f t="shared" si="1"/>
        <v>0</v>
      </c>
      <c r="Y25" s="45">
        <f t="shared" si="6"/>
        <v>785</v>
      </c>
      <c r="Z25" s="45">
        <v>865</v>
      </c>
      <c r="AA25" s="100">
        <f t="shared" si="7"/>
        <v>48.8</v>
      </c>
      <c r="AB25" s="100">
        <v>56.8</v>
      </c>
      <c r="AC25" s="75">
        <f t="shared" si="8"/>
        <v>56.8</v>
      </c>
    </row>
    <row r="26" spans="1:29" x14ac:dyDescent="0.3">
      <c r="A26">
        <v>1340</v>
      </c>
      <c r="B26" s="50">
        <v>2000</v>
      </c>
      <c r="C26" s="65">
        <v>80</v>
      </c>
      <c r="D26" s="74">
        <f t="shared" ref="D26:D29" si="18">D21</f>
        <v>1090</v>
      </c>
      <c r="E26" s="23">
        <f>F$5^Konstanten!$E$4*$A26*$D26^Konstanten!$F$4*F$4^Konstanten!$G$4*E$5^Konstanten!$H$4*(Konstanten!$C$4-F$4^Konstanten!$I$4*Konstanten!$D$4)</f>
        <v>5383.1255213223121</v>
      </c>
      <c r="F26" s="28">
        <f>Konstanten!$C$23*(((($E$3+$F$3)*Konstanten!$I$23+$G$3)/(Konstanten!$I$23+2))^Konstanten!$D$23*$D26^Konstanten!$E$23*ABS($F$4)^Konstanten!$F$23+Konstanten!$H$23*($D26*$A26)^Konstanten!$G$23)</f>
        <v>46.568339447606412</v>
      </c>
      <c r="G26" s="37">
        <f>3.6*E26/(F$4*Konstanten!$K$3)</f>
        <v>462.81757747980782</v>
      </c>
      <c r="H26" s="40">
        <f t="shared" ref="H26:H29" si="19" xml:space="preserve"> 0.00033778*G26^1.7661</f>
        <v>17.219251062442876</v>
      </c>
      <c r="I26" s="23">
        <f>J$5^Konstanten!$E$4*$A26*$D26^Konstanten!$F$4*J$4^Konstanten!$G$4*I$5^Konstanten!$H$4*(Konstanten!$C$4-J$4^Konstanten!$I$4*Konstanten!$D$4)</f>
        <v>4468.1839665074831</v>
      </c>
      <c r="J26" s="28">
        <f>Konstanten!$C$23*(((($I$3+$J$3)*Konstanten!$I$23+$K$3)/(Konstanten!$I$23+2))^Konstanten!$D$23*$D26^Konstanten!$E$23*ABS($J$4)^Konstanten!$F$23+Konstanten!$H$23*($D26*$A26)^Konstanten!$G$23)</f>
        <v>43.861315183166319</v>
      </c>
      <c r="K26" s="37">
        <f>3.6*I26/(J$4*Konstanten!$K$3)</f>
        <v>256.10327072652512</v>
      </c>
      <c r="L26" s="40">
        <f t="shared" ref="L26:L29" si="20" xml:space="preserve"> 0.00033778*K26^1.7661</f>
        <v>6.0553030545576396</v>
      </c>
      <c r="M26" s="23">
        <f>IF(M$7="trocken",N26,IF(Konstanten!$A$18*(N$6^Konstanten!$B$18*N$5^Konstanten!$C$18*N26^Konstanten!$D$18*M$5^Konstanten!$E$18+N$4^Konstanten!$F$18)&lt;1,N26,N26*Konstanten!$A$18*(N$6^Konstanten!$B$18*N$5^Konstanten!$C$18*N26^Konstanten!$D$18*M$5^Konstanten!$E$18+N$4^Konstanten!$F$18)))</f>
        <v>2314.7427952925068</v>
      </c>
      <c r="N26" s="23">
        <f>N$5^Konstanten!$E$6*$A26*$D26^Konstanten!$F$6*N$4^Konstanten!$G$6*M$5^Konstanten!$H$6*(Konstanten!$C$6-N$4^Konstanten!$I$6*Konstanten!$D$6)</f>
        <v>1892.633122534083</v>
      </c>
      <c r="O26" s="28">
        <f>Konstanten!$C$25*(((($M$3+$N$3)*Konstanten!$I$25+$O$3)/(Konstanten!$I$25+2))^Konstanten!$D$25*$D26^Konstanten!$E$25*ABS($N$4)^Konstanten!$F$25+Konstanten!$H$25*($D26*$A26)^Konstanten!$G$25)</f>
        <v>15.068732704395075</v>
      </c>
      <c r="P26" s="37">
        <f>3.6*M26/(N$4*Konstanten!$K$3)</f>
        <v>284.30208137387115</v>
      </c>
      <c r="Q26" s="40">
        <f t="shared" ref="Q26:Q29" si="21">0.0003326*P26^1.8063</f>
        <v>8.9988109816159731</v>
      </c>
      <c r="R26" s="68">
        <f t="shared" si="0"/>
        <v>0.67328082495805308</v>
      </c>
      <c r="S26" s="23">
        <f>IF(S$7="trocken",T26,IF(Konstanten!$A$18*(T$6^Konstanten!$B$18*T$5^Konstanten!$C$18*T26^Konstanten!$D$18*S$5^Konstanten!$E$18+T$4^Konstanten!$F$18)&lt;1,T26,T26*Konstanten!$A$18*(T$6^Konstanten!$B$18*T$5^Konstanten!$C$18*T26^Konstanten!$D$18*S$5^Konstanten!$E$18+T$4^Konstanten!$F$18)))</f>
        <v>1471.7352728202277</v>
      </c>
      <c r="T26" s="23">
        <f>T$5^Konstanten!$E$6*$A26*$D26^Konstanten!$F$6*T$4^Konstanten!$G$6*S$5^Konstanten!$H$6*(Konstanten!$C$6-T$4^Konstanten!$I$6*Konstanten!$D$6)</f>
        <v>1471.7352728202277</v>
      </c>
      <c r="U26" s="28">
        <f>Konstanten!$C$25*(((($S$3+$T$3)*Konstanten!$I$25+$U$3)/(Konstanten!$I$25+2))^Konstanten!$D$25*$D26^Konstanten!$E$25*ABS($T$4)^Konstanten!$F$25+Konstanten!$H$25*($D26*$A26)^Konstanten!$G$25)</f>
        <v>19.434851247543275</v>
      </c>
      <c r="V26" s="37">
        <f>3.6*S26/(T$4*Konstanten!$K$3)</f>
        <v>632.66679456038889</v>
      </c>
      <c r="W26" s="40">
        <f t="shared" ref="W26:W29" si="22">0.0003326*V26^1.8063</f>
        <v>38.166709709746819</v>
      </c>
      <c r="X26" s="68">
        <f t="shared" si="1"/>
        <v>0</v>
      </c>
      <c r="Y26" s="46">
        <f t="shared" si="6"/>
        <v>615</v>
      </c>
      <c r="Z26" s="46">
        <v>680</v>
      </c>
      <c r="AA26" s="98">
        <f t="shared" si="7"/>
        <v>41.7</v>
      </c>
      <c r="AB26" s="98">
        <v>49.7</v>
      </c>
      <c r="AC26" s="75">
        <f t="shared" si="8"/>
        <v>49.7</v>
      </c>
    </row>
    <row r="27" spans="1:29" x14ac:dyDescent="0.3">
      <c r="A27">
        <v>1340</v>
      </c>
      <c r="B27" s="50">
        <v>2000</v>
      </c>
      <c r="C27" s="65">
        <v>60</v>
      </c>
      <c r="D27" s="74">
        <v>870</v>
      </c>
      <c r="E27" s="23">
        <f>F$5^Konstanten!$E$4*$A27*$D27^Konstanten!$F$4*F$4^Konstanten!$G$4*E$5^Konstanten!$H$4*(Konstanten!$C$4-F$4^Konstanten!$I$4*Konstanten!$D$4)</f>
        <v>4233.2689308231156</v>
      </c>
      <c r="F27" s="28">
        <f>Konstanten!$C$23*(((($E$3+$F$3)*Konstanten!$I$23+$G$3)/(Konstanten!$I$23+2))^Konstanten!$D$23*$D27^Konstanten!$E$23*ABS($F$4)^Konstanten!$F$23+Konstanten!$H$23*($D27*$A27)^Konstanten!$G$23)</f>
        <v>47.776039464441865</v>
      </c>
      <c r="G27" s="37">
        <f>3.6*E27/(F$4*Konstanten!$K$3)</f>
        <v>363.95793923505323</v>
      </c>
      <c r="H27" s="40">
        <f t="shared" si="19"/>
        <v>11.264358165474011</v>
      </c>
      <c r="I27" s="23">
        <f>J$5^Konstanten!$E$4*$A27*$D27^Konstanten!$F$4*J$4^Konstanten!$G$4*I$5^Konstanten!$H$4*(Konstanten!$C$4-J$4^Konstanten!$I$4*Konstanten!$D$4)</f>
        <v>3513.762457831715</v>
      </c>
      <c r="J27" s="28">
        <f>Konstanten!$C$23*(((($I$3+$J$3)*Konstanten!$I$23+$K$3)/(Konstanten!$I$23+2))^Konstanten!$D$23*$D27^Konstanten!$E$23*ABS($J$4)^Konstanten!$F$23+Konstanten!$H$23*($D27*$A27)^Konstanten!$G$23)</f>
        <v>44.989241151151489</v>
      </c>
      <c r="K27" s="37">
        <f>3.6*I27/(J$4*Konstanten!$K$3)</f>
        <v>201.39861401234205</v>
      </c>
      <c r="L27" s="40">
        <f t="shared" si="20"/>
        <v>3.9612119109987192</v>
      </c>
      <c r="M27" s="23">
        <f>IF(M$7="trocken",N27,IF(Konstanten!$A$18*(N$6^Konstanten!$B$18*N$5^Konstanten!$C$18*N27^Konstanten!$D$18*M$5^Konstanten!$E$18+N$4^Konstanten!$F$18)&lt;1,N27,N27*Konstanten!$A$18*(N$6^Konstanten!$B$18*N$5^Konstanten!$C$18*N27^Konstanten!$D$18*M$5^Konstanten!$E$18+N$4^Konstanten!$F$18)))</f>
        <v>1681.3407868470072</v>
      </c>
      <c r="N27" s="23">
        <f>N$5^Konstanten!$E$6*$A27*$D27^Konstanten!$F$6*N$4^Konstanten!$G$6*M$5^Konstanten!$H$6*(Konstanten!$C$6-N$4^Konstanten!$I$6*Konstanten!$D$6)</f>
        <v>1361.2456963567636</v>
      </c>
      <c r="O27" s="28">
        <f>Konstanten!$C$25*(((($M$3+$N$3)*Konstanten!$I$25+$O$3)/(Konstanten!$I$25+2))^Konstanten!$D$25*$D27^Konstanten!$E$25*ABS($N$4)^Konstanten!$F$25+Konstanten!$H$25*($D27*$A27)^Konstanten!$G$25)</f>
        <v>14.626830823305049</v>
      </c>
      <c r="P27" s="37">
        <f>3.6*M27/(N$4*Konstanten!$K$3)</f>
        <v>206.50617691585984</v>
      </c>
      <c r="Q27" s="40">
        <f t="shared" si="21"/>
        <v>5.0510981430692929</v>
      </c>
      <c r="R27" s="68">
        <f t="shared" si="0"/>
        <v>0.51056372430876251</v>
      </c>
      <c r="S27" s="23">
        <f>IF(S$7="trocken",T27,IF(Konstanten!$A$18*(T$6^Konstanten!$B$18*T$5^Konstanten!$C$18*T27^Konstanten!$D$18*S$5^Konstanten!$E$18+T$4^Konstanten!$F$18)&lt;1,T27,T27*Konstanten!$A$18*(T$6^Konstanten!$B$18*T$5^Konstanten!$C$18*T27^Konstanten!$D$18*S$5^Konstanten!$E$18+T$4^Konstanten!$F$18)))</f>
        <v>1058.5217401355635</v>
      </c>
      <c r="T27" s="23">
        <f>T$5^Konstanten!$E$6*$A27*$D27^Konstanten!$F$6*T$4^Konstanten!$G$6*S$5^Konstanten!$H$6*(Konstanten!$C$6-T$4^Konstanten!$I$6*Konstanten!$D$6)</f>
        <v>1058.5217401355635</v>
      </c>
      <c r="U27" s="28">
        <f>Konstanten!$C$25*(((($S$3+$T$3)*Konstanten!$I$25+$U$3)/(Konstanten!$I$25+2))^Konstanten!$D$25*$D27^Konstanten!$E$25*ABS($T$4)^Konstanten!$F$25+Konstanten!$H$25*($D27*$A27)^Konstanten!$G$25)</f>
        <v>18.864795906173043</v>
      </c>
      <c r="V27" s="37">
        <f>3.6*S27/(T$4*Konstanten!$K$3)</f>
        <v>455.03533731358397</v>
      </c>
      <c r="W27" s="40">
        <f t="shared" si="22"/>
        <v>21.045010821921021</v>
      </c>
      <c r="X27" s="68">
        <f t="shared" si="1"/>
        <v>0</v>
      </c>
      <c r="Y27" s="46">
        <f t="shared" si="6"/>
        <v>475</v>
      </c>
      <c r="Z27" s="46">
        <v>495</v>
      </c>
      <c r="AA27" s="98">
        <f t="shared" si="7"/>
        <v>32.799999999999997</v>
      </c>
      <c r="AB27" s="98">
        <v>40.799999999999997</v>
      </c>
      <c r="AC27" s="75">
        <f t="shared" si="8"/>
        <v>40.799999999999997</v>
      </c>
    </row>
    <row r="28" spans="1:29" x14ac:dyDescent="0.3">
      <c r="A28">
        <v>1340</v>
      </c>
      <c r="B28" s="50">
        <v>2000</v>
      </c>
      <c r="C28" s="65">
        <v>40</v>
      </c>
      <c r="D28" s="74">
        <f t="shared" si="18"/>
        <v>565</v>
      </c>
      <c r="E28" s="23">
        <f>F$5^Konstanten!$E$4*$A28*$D28^Konstanten!$F$4*F$4^Konstanten!$G$4*E$5^Konstanten!$H$4*(Konstanten!$C$4-F$4^Konstanten!$I$4*Konstanten!$D$4)</f>
        <v>2672.0958998543683</v>
      </c>
      <c r="F28" s="28">
        <f>Konstanten!$C$23*(((($E$3+$F$3)*Konstanten!$I$23+$G$3)/(Konstanten!$I$23+2))^Konstanten!$D$23*$D28^Konstanten!$E$23*ABS($F$4)^Konstanten!$F$23+Konstanten!$H$23*($D28*$A28)^Konstanten!$G$23)</f>
        <v>50.19707916051339</v>
      </c>
      <c r="G28" s="37">
        <f>3.6*E28/(F$4*Konstanten!$K$3)</f>
        <v>229.73511322852164</v>
      </c>
      <c r="H28" s="40">
        <f t="shared" si="19"/>
        <v>4.9980155740420074</v>
      </c>
      <c r="I28" s="23">
        <f>J$5^Konstanten!$E$4*$A28*$D28^Konstanten!$F$4*J$4^Konstanten!$G$4*I$5^Konstanten!$H$4*(Konstanten!$C$4-J$4^Konstanten!$I$4*Konstanten!$D$4)</f>
        <v>2217.9338024737108</v>
      </c>
      <c r="J28" s="28">
        <f>Konstanten!$C$23*(((($I$3+$J$3)*Konstanten!$I$23+$K$3)/(Konstanten!$I$23+2))^Konstanten!$D$23*$D28^Konstanten!$E$23*ABS($J$4)^Konstanten!$F$23+Konstanten!$H$23*($D28*$A28)^Konstanten!$G$23)</f>
        <v>47.250911874823359</v>
      </c>
      <c r="K28" s="37">
        <f>3.6*I28/(J$4*Konstanten!$K$3)</f>
        <v>127.12549557632113</v>
      </c>
      <c r="L28" s="40">
        <f t="shared" si="20"/>
        <v>1.7575967074568937</v>
      </c>
      <c r="M28" s="23">
        <f>IF(M$7="trocken",N28,IF(Konstanten!$A$18*(N$6^Konstanten!$B$18*N$5^Konstanten!$C$18*N28^Konstanten!$D$18*M$5^Konstanten!$E$18+N$4^Konstanten!$F$18)&lt;1,N28,N28*Konstanten!$A$18*(N$6^Konstanten!$B$18*N$5^Konstanten!$C$18*N28^Konstanten!$D$18*M$5^Konstanten!$E$18+N$4^Konstanten!$F$18)))</f>
        <v>911.58816252603219</v>
      </c>
      <c r="N28" s="23">
        <f>N$5^Konstanten!$E$6*$A28*$D28^Konstanten!$F$6*N$4^Konstanten!$G$6*M$5^Konstanten!$H$6*(Konstanten!$C$6-N$4^Konstanten!$I$6*Konstanten!$D$6)</f>
        <v>724.2262507697759</v>
      </c>
      <c r="O28" s="28">
        <f>Konstanten!$C$25*(((($M$3+$N$3)*Konstanten!$I$25+$O$3)/(Konstanten!$I$25+2))^Konstanten!$D$25*$D28^Konstanten!$E$25*ABS($N$4)^Konstanten!$F$25+Konstanten!$H$25*($D28*$A28)^Konstanten!$G$25)</f>
        <v>13.816604086586048</v>
      </c>
      <c r="P28" s="37">
        <f>3.6*M28/(N$4*Konstanten!$K$3)</f>
        <v>111.96337342058067</v>
      </c>
      <c r="Q28" s="40">
        <f t="shared" si="21"/>
        <v>1.6717378627299702</v>
      </c>
      <c r="R28" s="68">
        <f t="shared" si="0"/>
        <v>0.2988493054153844</v>
      </c>
      <c r="S28" s="23">
        <f>IF(S$7="trocken",T28,IF(Konstanten!$A$18*(T$6^Konstanten!$B$18*T$5^Konstanten!$C$18*T28^Konstanten!$D$18*S$5^Konstanten!$E$18+T$4^Konstanten!$F$18)&lt;1,T28,T28*Konstanten!$A$18*(T$6^Konstanten!$B$18*T$5^Konstanten!$C$18*T28^Konstanten!$D$18*S$5^Konstanten!$E$18+T$4^Konstanten!$F$18)))</f>
        <v>563.16742324213044</v>
      </c>
      <c r="T28" s="23">
        <f>T$5^Konstanten!$E$6*$A28*$D28^Konstanten!$F$6*T$4^Konstanten!$G$6*S$5^Konstanten!$H$6*(Konstanten!$C$6-T$4^Konstanten!$I$6*Konstanten!$D$6)</f>
        <v>563.16742324213044</v>
      </c>
      <c r="U28" s="28">
        <f>Konstanten!$C$25*(((($S$3+$T$3)*Konstanten!$I$25+$U$3)/(Konstanten!$I$25+2))^Konstanten!$D$25*$D28^Konstanten!$E$25*ABS($T$4)^Konstanten!$F$25+Konstanten!$H$25*($D28*$A28)^Konstanten!$G$25)</f>
        <v>17.819586386147037</v>
      </c>
      <c r="V28" s="37">
        <f>3.6*S28/(T$4*Konstanten!$K$3)</f>
        <v>242.09335404503429</v>
      </c>
      <c r="W28" s="40">
        <f t="shared" si="22"/>
        <v>6.7314790446794275</v>
      </c>
      <c r="X28" s="68">
        <f t="shared" si="1"/>
        <v>0</v>
      </c>
      <c r="Y28" s="46">
        <f t="shared" si="6"/>
        <v>275</v>
      </c>
      <c r="Z28" s="46">
        <v>305</v>
      </c>
      <c r="AA28" s="98">
        <f t="shared" si="7"/>
        <v>20.7</v>
      </c>
      <c r="AB28" s="98">
        <v>28.7</v>
      </c>
      <c r="AC28" s="75">
        <f t="shared" si="8"/>
        <v>28.7</v>
      </c>
    </row>
    <row r="29" spans="1:29" x14ac:dyDescent="0.3">
      <c r="A29" s="22">
        <v>1340</v>
      </c>
      <c r="B29" s="51">
        <v>2000</v>
      </c>
      <c r="C29" s="66">
        <v>20</v>
      </c>
      <c r="D29" s="72">
        <f t="shared" si="18"/>
        <v>300</v>
      </c>
      <c r="E29" s="24">
        <f>F$5^Konstanten!$E$4*$A29*$D29^Konstanten!$F$4*F$4^Konstanten!$G$4*E$5^Konstanten!$H$4*(Konstanten!$C$4-F$4^Konstanten!$I$4*Konstanten!$D$4)</f>
        <v>1360.8462786076009</v>
      </c>
      <c r="F29" s="29">
        <f>Konstanten!$C$23*(((($E$3+$F$3)*Konstanten!$I$23+$G$3)/(Konstanten!$I$23+2))^Konstanten!$D$23*$D29^Konstanten!$E$23*ABS($F$4)^Konstanten!$F$23+Konstanten!$H$23*($D29*$A29)^Konstanten!$G$23)</f>
        <v>54.019585803670466</v>
      </c>
      <c r="G29" s="38">
        <f>3.6*E29/(F$4*Konstanten!$K$3)</f>
        <v>116.99960840461165</v>
      </c>
      <c r="H29" s="41">
        <f t="shared" si="19"/>
        <v>1.5179393331374786</v>
      </c>
      <c r="I29" s="24">
        <f>J$5^Konstanten!$E$4*$A29*$D29^Konstanten!$F$4*J$4^Konstanten!$G$4*I$5^Konstanten!$H$4*(Konstanten!$C$4-J$4^Konstanten!$I$4*Konstanten!$D$4)</f>
        <v>1129.5503883146012</v>
      </c>
      <c r="J29" s="29">
        <f>Konstanten!$C$23*(((($I$3+$J$3)*Konstanten!$I$23+$K$3)/(Konstanten!$I$23+2))^Konstanten!$D$23*$D29^Konstanten!$E$23*ABS($J$4)^Konstanten!$F$23+Konstanten!$H$23*($D29*$A29)^Konstanten!$G$23)</f>
        <v>50.823074290028963</v>
      </c>
      <c r="K29" s="38">
        <f>3.6*I29/(J$4*Konstanten!$K$3)</f>
        <v>64.742533222932693</v>
      </c>
      <c r="L29" s="41">
        <f t="shared" si="20"/>
        <v>0.53379689088966464</v>
      </c>
      <c r="M29" s="24">
        <f>IF(M$7="trocken",N29,IF(Konstanten!$A$18*(N$6^Konstanten!$B$18*N$5^Konstanten!$C$18*N29^Konstanten!$D$18*M$5^Konstanten!$E$18+N$4^Konstanten!$F$18)&lt;1,N29,N29*Konstanten!$A$18*(N$6^Konstanten!$B$18*N$5^Konstanten!$C$18*N29^Konstanten!$D$18*M$5^Konstanten!$E$18+N$4^Konstanten!$F$18)))</f>
        <v>371.47329816529833</v>
      </c>
      <c r="N29" s="24">
        <f>N$5^Konstanten!$E$6*$A29*$D29^Konstanten!$F$6*N$4^Konstanten!$G$6*M$5^Konstanten!$H$6*(Konstanten!$C$6-N$4^Konstanten!$I$6*Konstanten!$D$6)</f>
        <v>287.05170010364714</v>
      </c>
      <c r="O29" s="29">
        <f>Konstanten!$C$25*(((($M$3+$N$3)*Konstanten!$I$25+$O$3)/(Konstanten!$I$25+2))^Konstanten!$D$25*$D29^Konstanten!$E$25*ABS($N$4)^Konstanten!$F$25+Konstanten!$H$25*($D29*$A29)^Konstanten!$G$25)</f>
        <v>12.709063409997301</v>
      </c>
      <c r="P29" s="38">
        <f>3.6*M29/(N$4*Konstanten!$K$3)</f>
        <v>45.625212467662202</v>
      </c>
      <c r="Q29" s="41">
        <f t="shared" si="21"/>
        <v>0.33032698662030918</v>
      </c>
      <c r="R29" s="69">
        <f t="shared" si="0"/>
        <v>0.13465562827733465</v>
      </c>
      <c r="S29" s="24">
        <f>IF(S$7="trocken",T29,IF(Konstanten!$A$18*(T$6^Konstanten!$B$18*T$5^Konstanten!$C$18*T29^Konstanten!$D$18*S$5^Konstanten!$E$18+T$4^Konstanten!$F$18)&lt;1,T29,T29*Konstanten!$A$18*(T$6^Konstanten!$B$18*T$5^Konstanten!$C$18*T29^Konstanten!$D$18*S$5^Konstanten!$E$18+T$4^Konstanten!$F$18)))</f>
        <v>223.21500513522975</v>
      </c>
      <c r="T29" s="24">
        <f>T$5^Konstanten!$E$6*$A29*$D29^Konstanten!$F$6*T$4^Konstanten!$G$6*S$5^Konstanten!$H$6*(Konstanten!$C$6-T$4^Konstanten!$I$6*Konstanten!$D$6)</f>
        <v>223.21500513522975</v>
      </c>
      <c r="U29" s="29">
        <f>Konstanten!$C$25*(((($S$3+$T$3)*Konstanten!$I$25+$U$3)/(Konstanten!$I$25+2))^Konstanten!$D$25*$D29^Konstanten!$E$25*ABS($T$4)^Konstanten!$F$25+Konstanten!$H$25*($D29*$A29)^Konstanten!$G$25)</f>
        <v>16.390801291050039</v>
      </c>
      <c r="V29" s="38">
        <f>3.6*S29/(T$4*Konstanten!$K$3)</f>
        <v>95.955247118641708</v>
      </c>
      <c r="W29" s="41">
        <f t="shared" si="22"/>
        <v>1.2651236915440895</v>
      </c>
      <c r="X29" s="69">
        <f t="shared" si="1"/>
        <v>0</v>
      </c>
      <c r="Y29" s="47">
        <f t="shared" si="6"/>
        <v>105</v>
      </c>
      <c r="Z29" s="47">
        <v>115</v>
      </c>
      <c r="AA29" s="99">
        <f t="shared" si="7"/>
        <v>16.600000000000001</v>
      </c>
      <c r="AB29" s="99">
        <v>24.6</v>
      </c>
      <c r="AC29" s="75" t="str">
        <f t="shared" si="8"/>
        <v>&lt; 28 dB(A)</v>
      </c>
    </row>
    <row r="30" spans="1:29" x14ac:dyDescent="0.3">
      <c r="A30" s="32">
        <v>1890</v>
      </c>
      <c r="B30" s="49">
        <v>2500</v>
      </c>
      <c r="C30" s="64">
        <v>100</v>
      </c>
      <c r="D30" s="53">
        <f t="shared" si="9"/>
        <v>1350</v>
      </c>
      <c r="E30" s="33">
        <f>F$5^Konstanten!$E$4*$A30*$D30^Konstanten!$F$4*F$4^Konstanten!$G$4*E$5^Konstanten!$H$4*(Konstanten!$C$4-F$4^Konstanten!$I$4*Konstanten!$D$4)</f>
        <v>9537.1963030283841</v>
      </c>
      <c r="F30" s="34">
        <f>Konstanten!$C$23*(((($E$3+$F$3)*Konstanten!$I$23+$G$3)/(Konstanten!$I$23+2))^Konstanten!$D$23*$D30^Konstanten!$E$23*ABS($F$4)^Konstanten!$F$23+Konstanten!$H$23*($D30*$A30)^Konstanten!$G$23)</f>
        <v>45.556586356381459</v>
      </c>
      <c r="G30" s="36">
        <f>3.6*E30/(F$4*Konstanten!$K$3)</f>
        <v>819.96640639966438</v>
      </c>
      <c r="H30" s="39">
        <f xml:space="preserve"> 0.00014367*G30^1.7562</f>
        <v>18.818054943031495</v>
      </c>
      <c r="I30" s="33">
        <f>J$5^Konstanten!$E$4*$A30*$D30^Konstanten!$F$4*J$4^Konstanten!$G$4*I$5^Konstanten!$H$4*(Konstanten!$C$4-J$4^Konstanten!$I$4*Konstanten!$D$4)</f>
        <v>7916.2091684160059</v>
      </c>
      <c r="J30" s="34">
        <f>Konstanten!$C$23*(((($I$3+$J$3)*Konstanten!$I$23+$K$3)/(Konstanten!$I$23+2))^Konstanten!$D$23*$D30^Konstanten!$E$23*ABS($J$4)^Konstanten!$F$23+Konstanten!$H$23*($D30*$A30)^Konstanten!$G$23)</f>
        <v>42.923149527487801</v>
      </c>
      <c r="K30" s="36">
        <f>3.6*I30/(J$4*Konstanten!$K$3)</f>
        <v>453.73401699288542</v>
      </c>
      <c r="L30" s="39">
        <f xml:space="preserve"> 0.00014367*K30^1.7562</f>
        <v>6.6564182892405475</v>
      </c>
      <c r="M30" s="33">
        <f>IF(M$7="trocken",N30,IF(Konstanten!$A$18*(N$6^Konstanten!$B$18*N$5^Konstanten!$C$18*N30^Konstanten!$D$18*M$5^Konstanten!$E$18+N$4^Konstanten!$F$18)&lt;1,N30,N30*Konstanten!$A$18*(N$6^Konstanten!$B$18*N$5^Konstanten!$C$18*N30^Konstanten!$D$18*M$5^Konstanten!$E$18+N$4^Konstanten!$F$18)))</f>
        <v>4376.7472988358268</v>
      </c>
      <c r="N30" s="33">
        <f>N$5^Konstanten!$E$6*$A30*$D30^Konstanten!$F$6*N$4^Konstanten!$G$6*M$5^Konstanten!$H$6*(Konstanten!$C$6-N$4^Konstanten!$I$6*Konstanten!$D$6)</f>
        <v>3649.5887616377272</v>
      </c>
      <c r="O30" s="34">
        <f>Konstanten!$C$25*(((($M$3+$N$3)*Konstanten!$I$25+$O$3)/(Konstanten!$I$25+2))^Konstanten!$D$25*$D30^Konstanten!$E$25*ABS($N$4)^Konstanten!$F$25+Konstanten!$H$25*($D30*$A30)^Konstanten!$G$25)</f>
        <v>15.500110006817737</v>
      </c>
      <c r="P30" s="36">
        <f>3.6*M30/(N$4*Konstanten!$K$3)</f>
        <v>537.56225928732317</v>
      </c>
      <c r="Q30" s="39">
        <f>0.00015861*P30^1.7759</f>
        <v>11.202088998266442</v>
      </c>
      <c r="R30" s="67">
        <f t="shared" si="0"/>
        <v>1.1598452520660871</v>
      </c>
      <c r="S30" s="33">
        <f>IF(S$7="trocken",T30,IF(Konstanten!$A$18*(T$6^Konstanten!$B$18*T$5^Konstanten!$C$18*T30^Konstanten!$D$18*S$5^Konstanten!$E$18+T$4^Konstanten!$F$18)&lt;1,T30,T30*Konstanten!$A$18*(T$6^Konstanten!$B$18*T$5^Konstanten!$C$18*T30^Konstanten!$D$18*S$5^Konstanten!$E$18+T$4^Konstanten!$F$18)))</f>
        <v>2837.9660314720145</v>
      </c>
      <c r="T30" s="33">
        <f>T$5^Konstanten!$E$6*$A30*$D30^Konstanten!$F$6*T$4^Konstanten!$G$6*S$5^Konstanten!$H$6*(Konstanten!$C$6-T$4^Konstanten!$I$6*Konstanten!$D$6)</f>
        <v>2837.9660314720145</v>
      </c>
      <c r="U30" s="34">
        <f>Konstanten!$C$25*(((($S$3+$T$3)*Konstanten!$I$25+$U$3)/(Konstanten!$I$25+2))^Konstanten!$D$25*$D30^Konstanten!$E$25*ABS($T$4)^Konstanten!$F$25+Konstanten!$H$25*($D30*$A30)^Konstanten!$G$25)</f>
        <v>19.991419055008222</v>
      </c>
      <c r="V30" s="36">
        <f>3.6*S30/(T$4*Konstanten!$K$3)</f>
        <v>1219.9795067505904</v>
      </c>
      <c r="W30" s="39">
        <f>0.00015861*V30^1.7759</f>
        <v>48.015784930885836</v>
      </c>
      <c r="X30" s="67">
        <f t="shared" si="1"/>
        <v>0</v>
      </c>
      <c r="Y30" s="45">
        <f t="shared" si="6"/>
        <v>1105</v>
      </c>
      <c r="Z30" s="45">
        <v>1105</v>
      </c>
      <c r="AA30" s="100">
        <f t="shared" si="7"/>
        <v>49.9</v>
      </c>
      <c r="AB30" s="100">
        <v>57.9</v>
      </c>
      <c r="AC30" s="75">
        <f t="shared" si="8"/>
        <v>57.9</v>
      </c>
    </row>
    <row r="31" spans="1:29" x14ac:dyDescent="0.3">
      <c r="A31">
        <v>1890</v>
      </c>
      <c r="B31" s="50">
        <v>2500</v>
      </c>
      <c r="C31" s="65">
        <v>80</v>
      </c>
      <c r="D31" s="27">
        <f t="shared" si="9"/>
        <v>1090</v>
      </c>
      <c r="E31" s="23">
        <f>F$5^Konstanten!$E$4*$A31*$D31^Konstanten!$F$4*F$4^Konstanten!$G$4*E$5^Konstanten!$H$4*(Konstanten!$C$4-F$4^Konstanten!$I$4*Konstanten!$D$4)</f>
        <v>7592.6173397754992</v>
      </c>
      <c r="F31" s="28">
        <f>Konstanten!$C$23*(((($E$3+$F$3)*Konstanten!$I$23+$G$3)/(Konstanten!$I$23+2))^Konstanten!$D$23*$D31^Konstanten!$E$23*ABS($F$4)^Konstanten!$F$23+Konstanten!$H$23*($D31*$A31)^Konstanten!$G$23)</f>
        <v>46.666186150403632</v>
      </c>
      <c r="G31" s="37">
        <f>3.6*E31/(F$4*Konstanten!$K$3)</f>
        <v>652.78001599763934</v>
      </c>
      <c r="H31" s="40">
        <f t="shared" ref="H31:H34" si="23" xml:space="preserve"> 0.00014367*G31^1.7562</f>
        <v>12.608390026702795</v>
      </c>
      <c r="I31" s="23">
        <f>J$5^Konstanten!$E$4*$A31*$D31^Konstanten!$F$4*J$4^Konstanten!$G$4*I$5^Konstanten!$H$4*(Konstanten!$C$4-J$4^Konstanten!$I$4*Konstanten!$D$4)</f>
        <v>6302.14007216354</v>
      </c>
      <c r="J31" s="28">
        <f>Konstanten!$C$23*(((($I$3+$J$3)*Konstanten!$I$23+$K$3)/(Konstanten!$I$23+2))^Konstanten!$D$23*$D31^Konstanten!$E$23*ABS($J$4)^Konstanten!$F$23+Konstanten!$H$23*($D31*$A31)^Konstanten!$G$23)</f>
        <v>43.959161885963532</v>
      </c>
      <c r="K31" s="37">
        <f>3.6*I31/(J$4*Konstanten!$K$3)</f>
        <v>361.2202848306959</v>
      </c>
      <c r="L31" s="40">
        <f t="shared" ref="L31:L34" si="24" xml:space="preserve"> 0.00014367*K31^1.7562</f>
        <v>4.4599039712497737</v>
      </c>
      <c r="M31" s="23">
        <f>IF(M$7="trocken",N31,IF(Konstanten!$A$18*(N$6^Konstanten!$B$18*N$5^Konstanten!$C$18*N31^Konstanten!$D$18*M$5^Konstanten!$E$18+N$4^Konstanten!$F$18)&lt;1,N31,N31*Konstanten!$A$18*(N$6^Konstanten!$B$18*N$5^Konstanten!$C$18*N31^Konstanten!$D$18*M$5^Konstanten!$E$18+N$4^Konstanten!$F$18)))</f>
        <v>3231.4107299546572</v>
      </c>
      <c r="N31" s="23">
        <f>N$5^Konstanten!$E$6*$A31*$D31^Konstanten!$F$6*N$4^Konstanten!$G$6*M$5^Konstanten!$H$6*(Konstanten!$C$6-N$4^Konstanten!$I$6*Konstanten!$D$6)</f>
        <v>2669.4601504398634</v>
      </c>
      <c r="O31" s="28">
        <f>Konstanten!$C$25*(((($M$3+$N$3)*Konstanten!$I$25+$O$3)/(Konstanten!$I$25+2))^Konstanten!$D$25*$D31^Konstanten!$E$25*ABS($N$4)^Konstanten!$F$25+Konstanten!$H$25*($D31*$A31)^Konstanten!$G$25)</f>
        <v>15.06839688082573</v>
      </c>
      <c r="P31" s="37">
        <f>3.6*M31/(N$4*Konstanten!$K$3)</f>
        <v>396.8893641955915</v>
      </c>
      <c r="Q31" s="40">
        <f t="shared" ref="Q31:Q34" si="25">0.00015861*P31^1.7759</f>
        <v>6.5359340401764348</v>
      </c>
      <c r="R31" s="68">
        <f t="shared" si="0"/>
        <v>0.89633233772851473</v>
      </c>
      <c r="S31" s="23">
        <f>IF(S$7="trocken",T31,IF(Konstanten!$A$18*(T$6^Konstanten!$B$18*T$5^Konstanten!$C$18*T31^Konstanten!$D$18*S$5^Konstanten!$E$18+T$4^Konstanten!$F$18)&lt;1,T31,T31*Konstanten!$A$18*(T$6^Konstanten!$B$18*T$5^Konstanten!$C$18*T31^Konstanten!$D$18*S$5^Konstanten!$E$18+T$4^Konstanten!$F$18)))</f>
        <v>2075.8057206195749</v>
      </c>
      <c r="T31" s="23">
        <f>T$5^Konstanten!$E$6*$A31*$D31^Konstanten!$F$6*T$4^Konstanten!$G$6*S$5^Konstanten!$H$6*(Konstanten!$C$6-T$4^Konstanten!$I$6*Konstanten!$D$6)</f>
        <v>2075.8057206195749</v>
      </c>
      <c r="U31" s="28">
        <f>Konstanten!$C$25*(((($S$3+$T$3)*Konstanten!$I$25+$U$3)/(Konstanten!$I$25+2))^Konstanten!$D$25*$D31^Konstanten!$E$25*ABS($T$4)^Konstanten!$F$25+Konstanten!$H$25*($D31*$A31)^Konstanten!$G$25)</f>
        <v>19.434515423973931</v>
      </c>
      <c r="V31" s="37">
        <f>3.6*S31/(T$4*Konstanten!$K$3)</f>
        <v>892.34346396950366</v>
      </c>
      <c r="W31" s="40">
        <f t="shared" ref="W31:W34" si="26">0.00015861*V31^1.7759</f>
        <v>27.553731834784259</v>
      </c>
      <c r="X31" s="68">
        <f t="shared" si="1"/>
        <v>0</v>
      </c>
      <c r="Y31" s="46">
        <f t="shared" si="6"/>
        <v>865</v>
      </c>
      <c r="Z31" s="46">
        <v>865</v>
      </c>
      <c r="AA31" s="98">
        <f t="shared" si="7"/>
        <v>42.8</v>
      </c>
      <c r="AB31" s="98">
        <v>50.8</v>
      </c>
      <c r="AC31" s="75">
        <f t="shared" si="8"/>
        <v>50.8</v>
      </c>
    </row>
    <row r="32" spans="1:29" x14ac:dyDescent="0.3">
      <c r="A32">
        <v>1890</v>
      </c>
      <c r="B32" s="50">
        <v>2500</v>
      </c>
      <c r="C32" s="65">
        <v>60</v>
      </c>
      <c r="D32" s="27">
        <f t="shared" si="9"/>
        <v>870</v>
      </c>
      <c r="E32" s="23">
        <f>F$5^Konstanten!$E$4*$A32*$D32^Konstanten!$F$4*F$4^Konstanten!$G$4*E$5^Konstanten!$H$4*(Konstanten!$C$4-F$4^Konstanten!$I$4*Konstanten!$D$4)</f>
        <v>5970.8046860117065</v>
      </c>
      <c r="F32" s="28">
        <f>Konstanten!$C$23*(((($E$3+$F$3)*Konstanten!$I$23+$G$3)/(Konstanten!$I$23+2))^Konstanten!$D$23*$D32^Konstanten!$E$23*ABS($F$4)^Konstanten!$F$23+Konstanten!$H$23*($D32*$A32)^Konstanten!$G$23)</f>
        <v>47.872113647713007</v>
      </c>
      <c r="G32" s="37">
        <f>3.6*E32/(F$4*Konstanten!$K$3)</f>
        <v>513.34366056287354</v>
      </c>
      <c r="H32" s="40">
        <f t="shared" si="23"/>
        <v>8.2677051137710027</v>
      </c>
      <c r="I32" s="23">
        <f>J$5^Konstanten!$E$4*$A32*$D32^Konstanten!$F$4*J$4^Konstanten!$G$4*I$5^Konstanten!$H$4*(Konstanten!$C$4-J$4^Konstanten!$I$4*Konstanten!$D$4)</f>
        <v>4955.9783920163745</v>
      </c>
      <c r="J32" s="28">
        <f>Konstanten!$C$23*(((($I$3+$J$3)*Konstanten!$I$23+$K$3)/(Konstanten!$I$23+2))^Konstanten!$D$23*$D32^Konstanten!$E$23*ABS($J$4)^Konstanten!$F$23+Konstanten!$H$23*($D32*$A32)^Konstanten!$G$23)</f>
        <v>45.085315334422639</v>
      </c>
      <c r="K32" s="37">
        <f>3.6*I32/(J$4*Konstanten!$K$3)</f>
        <v>284.06222424128839</v>
      </c>
      <c r="L32" s="40">
        <f t="shared" si="24"/>
        <v>2.9244947841823774</v>
      </c>
      <c r="M32" s="23">
        <f>IF(M$7="trocken",N32,IF(Konstanten!$A$18*(N$6^Konstanten!$B$18*N$5^Konstanten!$C$18*N32^Konstanten!$D$18*M$5^Konstanten!$E$18+N$4^Konstanten!$F$18)&lt;1,N32,N32*Konstanten!$A$18*(N$6^Konstanten!$B$18*N$5^Konstanten!$C$18*N32^Konstanten!$D$18*M$5^Konstanten!$E$18+N$4^Konstanten!$F$18)))</f>
        <v>2347.1645136658308</v>
      </c>
      <c r="N32" s="23">
        <f>N$5^Konstanten!$E$6*$A32*$D32^Konstanten!$F$6*N$4^Konstanten!$G$6*M$5^Konstanten!$H$6*(Konstanten!$C$6-N$4^Konstanten!$I$6*Konstanten!$D$6)</f>
        <v>1919.9659448614054</v>
      </c>
      <c r="O32" s="28">
        <f>Konstanten!$C$25*(((($M$3+$N$3)*Konstanten!$I$25+$O$3)/(Konstanten!$I$25+2))^Konstanten!$D$25*$D32^Konstanten!$E$25*ABS($N$4)^Konstanten!$F$25+Konstanten!$H$25*($D32*$A32)^Konstanten!$G$25)</f>
        <v>14.626480767907649</v>
      </c>
      <c r="P32" s="37">
        <f>3.6*M32/(N$4*Konstanten!$K$3)</f>
        <v>288.28419205761497</v>
      </c>
      <c r="Q32" s="40">
        <f t="shared" si="25"/>
        <v>3.7044724968012859</v>
      </c>
      <c r="R32" s="68">
        <f t="shared" si="0"/>
        <v>0.68139780580236209</v>
      </c>
      <c r="S32" s="23">
        <f>IF(S$7="trocken",T32,IF(Konstanten!$A$18*(T$6^Konstanten!$B$18*T$5^Konstanten!$C$18*T32^Konstanten!$D$18*S$5^Konstanten!$E$18+T$4^Konstanten!$F$18)&lt;1,T32,T32*Konstanten!$A$18*(T$6^Konstanten!$B$18*T$5^Konstanten!$C$18*T32^Konstanten!$D$18*S$5^Konstanten!$E$18+T$4^Konstanten!$F$18)))</f>
        <v>1492.989618549414</v>
      </c>
      <c r="T32" s="23">
        <f>T$5^Konstanten!$E$6*$A32*$D32^Konstanten!$F$6*T$4^Konstanten!$G$6*S$5^Konstanten!$H$6*(Konstanten!$C$6-T$4^Konstanten!$I$6*Konstanten!$D$6)</f>
        <v>1492.989618549414</v>
      </c>
      <c r="U32" s="28">
        <f>Konstanten!$C$25*(((($S$3+$T$3)*Konstanten!$I$25+$U$3)/(Konstanten!$I$25+2))^Konstanten!$D$25*$D32^Konstanten!$E$25*ABS($T$4)^Konstanten!$F$25+Konstanten!$H$25*($D32*$A32)^Konstanten!$G$25)</f>
        <v>18.864445850775645</v>
      </c>
      <c r="V32" s="37">
        <f>3.6*S32/(T$4*Konstanten!$K$3)</f>
        <v>641.80357277811459</v>
      </c>
      <c r="W32" s="40">
        <f t="shared" si="26"/>
        <v>15.346028784823885</v>
      </c>
      <c r="X32" s="68">
        <f t="shared" si="1"/>
        <v>0</v>
      </c>
      <c r="Y32" s="46">
        <f t="shared" si="6"/>
        <v>665</v>
      </c>
      <c r="Z32" s="46">
        <v>630</v>
      </c>
      <c r="AA32" s="98">
        <f t="shared" si="7"/>
        <v>33.9</v>
      </c>
      <c r="AB32" s="98">
        <v>41.9</v>
      </c>
      <c r="AC32" s="75">
        <f t="shared" si="8"/>
        <v>41.9</v>
      </c>
    </row>
    <row r="33" spans="1:29" x14ac:dyDescent="0.3">
      <c r="A33">
        <v>1890</v>
      </c>
      <c r="B33" s="50">
        <v>2500</v>
      </c>
      <c r="C33" s="65">
        <v>40</v>
      </c>
      <c r="D33" s="27">
        <f t="shared" si="9"/>
        <v>565</v>
      </c>
      <c r="E33" s="23">
        <f>F$5^Konstanten!$E$4*$A33*$D33^Konstanten!$F$4*F$4^Konstanten!$G$4*E$5^Konstanten!$H$4*(Konstanten!$C$4-F$4^Konstanten!$I$4*Konstanten!$D$4)</f>
        <v>3768.8516796453405</v>
      </c>
      <c r="F33" s="28">
        <f>Konstanten!$C$23*(((($E$3+$F$3)*Konstanten!$I$23+$G$3)/(Konstanten!$I$23+2))^Konstanten!$D$23*$D33^Konstanten!$E$23*ABS($F$4)^Konstanten!$F$23+Konstanten!$H$23*($D33*$A33)^Konstanten!$G$23)</f>
        <v>50.289848468866445</v>
      </c>
      <c r="G33" s="37">
        <f>3.6*E33/(F$4*Konstanten!$K$3)</f>
        <v>324.02937612082525</v>
      </c>
      <c r="H33" s="40">
        <f t="shared" si="23"/>
        <v>3.685143364354706</v>
      </c>
      <c r="I33" s="23">
        <f>J$5^Konstanten!$E$4*$A33*$D33^Konstanten!$F$4*J$4^Konstanten!$G$4*I$5^Konstanten!$H$4*(Konstanten!$C$4-J$4^Konstanten!$I$4*Konstanten!$D$4)</f>
        <v>3128.2797661756076</v>
      </c>
      <c r="J33" s="28">
        <f>Konstanten!$C$23*(((($I$3+$J$3)*Konstanten!$I$23+$K$3)/(Konstanten!$I$23+2))^Konstanten!$D$23*$D33^Konstanten!$E$23*ABS($J$4)^Konstanten!$F$23+Konstanten!$H$23*($D33*$A33)^Konstanten!$G$23)</f>
        <v>47.343681183176408</v>
      </c>
      <c r="K33" s="37">
        <f>3.6*I33/(J$4*Konstanten!$K$3)</f>
        <v>179.30387062630373</v>
      </c>
      <c r="L33" s="40">
        <f t="shared" si="24"/>
        <v>1.3035276899352315</v>
      </c>
      <c r="M33" s="23">
        <f>IF(M$7="trocken",N33,IF(Konstanten!$A$18*(N$6^Konstanten!$B$18*N$5^Konstanten!$C$18*N33^Konstanten!$D$18*M$5^Konstanten!$E$18+N$4^Konstanten!$F$18)&lt;1,N33,N33*Konstanten!$A$18*(N$6^Konstanten!$B$18*N$5^Konstanten!$C$18*N33^Konstanten!$D$18*M$5^Konstanten!$E$18+N$4^Konstanten!$F$18)))</f>
        <v>1272.5749282457571</v>
      </c>
      <c r="N33" s="23">
        <f>N$5^Konstanten!$E$6*$A33*$D33^Konstanten!$F$6*N$4^Konstanten!$G$6*M$5^Konstanten!$H$6*(Konstanten!$C$6-N$4^Konstanten!$I$6*Konstanten!$D$6)</f>
        <v>1021.4832939961766</v>
      </c>
      <c r="O33" s="28">
        <f>Konstanten!$C$25*(((($M$3+$N$3)*Konstanten!$I$25+$O$3)/(Konstanten!$I$25+2))^Konstanten!$D$25*$D33^Konstanten!$E$25*ABS($N$4)^Konstanten!$F$25+Konstanten!$H$25*($D33*$A33)^Konstanten!$G$25)</f>
        <v>13.816225075563306</v>
      </c>
      <c r="P33" s="37">
        <f>3.6*M33/(N$4*Konstanten!$K$3)</f>
        <v>156.30060563975292</v>
      </c>
      <c r="Q33" s="40">
        <f t="shared" si="25"/>
        <v>1.2490657579536728</v>
      </c>
      <c r="R33" s="68">
        <f t="shared" si="0"/>
        <v>0.4005006128925519</v>
      </c>
      <c r="S33" s="23">
        <f>IF(S$7="trocken",T33,IF(Konstanten!$A$18*(T$6^Konstanten!$B$18*T$5^Konstanten!$C$18*T33^Konstanten!$D$18*S$5^Konstanten!$E$18+T$4^Konstanten!$F$18)&lt;1,T33,T33*Konstanten!$A$18*(T$6^Konstanten!$B$18*T$5^Konstanten!$C$18*T33^Konstanten!$D$18*S$5^Konstanten!$E$18+T$4^Konstanten!$F$18)))</f>
        <v>794.31823128927363</v>
      </c>
      <c r="T33" s="23">
        <f>T$5^Konstanten!$E$6*$A33*$D33^Konstanten!$F$6*T$4^Konstanten!$G$6*S$5^Konstanten!$H$6*(Konstanten!$C$6-T$4^Konstanten!$I$6*Konstanten!$D$6)</f>
        <v>794.31823128927363</v>
      </c>
      <c r="U33" s="28">
        <f>Konstanten!$C$25*(((($S$3+$T$3)*Konstanten!$I$25+$U$3)/(Konstanten!$I$25+2))^Konstanten!$D$25*$D33^Konstanten!$E$25*ABS($T$4)^Konstanten!$F$25+Konstanten!$H$25*($D33*$A33)^Konstanten!$G$25)</f>
        <v>17.819207375124297</v>
      </c>
      <c r="V33" s="37">
        <f>3.6*S33/(T$4*Konstanten!$K$3)</f>
        <v>341.46002921277227</v>
      </c>
      <c r="W33" s="40">
        <f t="shared" si="26"/>
        <v>5.0036721463509801</v>
      </c>
      <c r="X33" s="68">
        <f t="shared" si="1"/>
        <v>0</v>
      </c>
      <c r="Y33" s="46">
        <f t="shared" si="6"/>
        <v>390</v>
      </c>
      <c r="Z33" s="46">
        <v>390</v>
      </c>
      <c r="AA33" s="98">
        <f t="shared" si="7"/>
        <v>23.8</v>
      </c>
      <c r="AB33" s="98">
        <v>31.8</v>
      </c>
      <c r="AC33" s="75">
        <f t="shared" si="8"/>
        <v>31.8</v>
      </c>
    </row>
    <row r="34" spans="1:29" x14ac:dyDescent="0.3">
      <c r="A34" s="22">
        <v>1890</v>
      </c>
      <c r="B34" s="51">
        <v>2500</v>
      </c>
      <c r="C34" s="66">
        <v>20</v>
      </c>
      <c r="D34" s="78">
        <f t="shared" si="9"/>
        <v>300</v>
      </c>
      <c r="E34" s="24">
        <f>F$5^Konstanten!$E$4*$A34*$D34^Konstanten!$F$4*F$4^Konstanten!$G$4*E$5^Konstanten!$H$4*(Konstanten!$C$4-F$4^Konstanten!$I$4*Konstanten!$D$4)</f>
        <v>1919.4025869913173</v>
      </c>
      <c r="F34" s="29">
        <f>Konstanten!$C$23*(((($E$3+$F$3)*Konstanten!$I$23+$G$3)/(Konstanten!$I$23+2))^Konstanten!$D$23*$D34^Konstanten!$E$23*ABS($F$4)^Konstanten!$F$23+Konstanten!$H$23*($D34*$A34)^Konstanten!$G$23)</f>
        <v>54.107712993713847</v>
      </c>
      <c r="G34" s="38">
        <f>3.6*E34/(F$4*Konstanten!$K$3)</f>
        <v>165.02183573486266</v>
      </c>
      <c r="H34" s="41">
        <f t="shared" si="23"/>
        <v>1.1267104517448303</v>
      </c>
      <c r="I34" s="24">
        <f>J$5^Konstanten!$E$4*$A34*$D34^Konstanten!$F$4*J$4^Konstanten!$G$4*I$5^Konstanten!$H$4*(Konstanten!$C$4-J$4^Konstanten!$I$4*Konstanten!$D$4)</f>
        <v>1593.1718163541761</v>
      </c>
      <c r="J34" s="29">
        <f>Konstanten!$C$23*(((($I$3+$J$3)*Konstanten!$I$23+$K$3)/(Konstanten!$I$23+2))^Konstanten!$D$23*$D34^Konstanten!$E$23*ABS($J$4)^Konstanten!$F$23+Konstanten!$H$23*($D34*$A34)^Konstanten!$G$23)</f>
        <v>50.911201480072343</v>
      </c>
      <c r="K34" s="38">
        <f>3.6*I34/(J$4*Konstanten!$K$3)</f>
        <v>91.315961038315493</v>
      </c>
      <c r="L34" s="41">
        <f t="shared" si="24"/>
        <v>0.39854576258690522</v>
      </c>
      <c r="M34" s="24">
        <f>IF(M$7="trocken",N34,IF(Konstanten!$A$18*(N$6^Konstanten!$B$18*N$5^Konstanten!$C$18*N34^Konstanten!$D$18*M$5^Konstanten!$E$18+N$4^Konstanten!$F$18)&lt;1,N34,N34*Konstanten!$A$18*(N$6^Konstanten!$B$18*N$5^Konstanten!$C$18*N34^Konstanten!$D$18*M$5^Konstanten!$E$18+N$4^Konstanten!$F$18)))</f>
        <v>518.57054776075097</v>
      </c>
      <c r="N34" s="24">
        <f>N$5^Konstanten!$E$6*$A34*$D34^Konstanten!$F$6*N$4^Konstanten!$G$6*M$5^Konstanten!$H$6*(Konstanten!$C$6-N$4^Konstanten!$I$6*Konstanten!$D$6)</f>
        <v>404.87142775812907</v>
      </c>
      <c r="O34" s="29">
        <f>Konstanten!$C$25*(((($M$3+$N$3)*Konstanten!$I$25+$O$3)/(Konstanten!$I$25+2))^Konstanten!$D$25*$D34^Konstanten!$E$25*ABS($N$4)^Konstanten!$F$25+Konstanten!$H$25*($D34*$A34)^Konstanten!$G$25)</f>
        <v>12.708637548466092</v>
      </c>
      <c r="P34" s="38">
        <f>3.6*M34/(N$4*Konstanten!$K$3)</f>
        <v>63.692037995495561</v>
      </c>
      <c r="Q34" s="41">
        <f t="shared" si="25"/>
        <v>0.2536327759852916</v>
      </c>
      <c r="R34" s="69">
        <f t="shared" si="0"/>
        <v>0.18135437838256041</v>
      </c>
      <c r="S34" s="24">
        <f>IF(S$7="trocken",T34,IF(Konstanten!$A$18*(T$6^Konstanten!$B$18*T$5^Konstanten!$C$18*T34^Konstanten!$D$18*S$5^Konstanten!$E$18+T$4^Konstanten!$F$18)&lt;1,T34,T34*Konstanten!$A$18*(T$6^Konstanten!$B$18*T$5^Konstanten!$C$18*T34^Konstanten!$D$18*S$5^Konstanten!$E$18+T$4^Konstanten!$F$18)))</f>
        <v>314.83310425789864</v>
      </c>
      <c r="T34" s="24">
        <f>T$5^Konstanten!$E$6*$A34*$D34^Konstanten!$F$6*T$4^Konstanten!$G$6*S$5^Konstanten!$H$6*(Konstanten!$C$6-T$4^Konstanten!$I$6*Konstanten!$D$6)</f>
        <v>314.83310425789864</v>
      </c>
      <c r="U34" s="29">
        <f>Konstanten!$C$25*(((($S$3+$T$3)*Konstanten!$I$25+$U$3)/(Konstanten!$I$25+2))^Konstanten!$D$25*$D34^Konstanten!$E$25*ABS($T$4)^Konstanten!$F$25+Konstanten!$H$25*($D34*$A34)^Konstanten!$G$25)</f>
        <v>16.390375429518826</v>
      </c>
      <c r="V34" s="38">
        <f>3.6*S34/(T$4*Konstanten!$K$3)</f>
        <v>135.33986347330807</v>
      </c>
      <c r="W34" s="41">
        <f t="shared" si="26"/>
        <v>0.96722948308013545</v>
      </c>
      <c r="X34" s="69">
        <f t="shared" si="1"/>
        <v>0</v>
      </c>
      <c r="Y34" s="47">
        <f t="shared" si="6"/>
        <v>150</v>
      </c>
      <c r="Z34" s="47">
        <v>150</v>
      </c>
      <c r="AA34" s="99">
        <f t="shared" si="7"/>
        <v>17.7</v>
      </c>
      <c r="AB34" s="99">
        <v>25.7</v>
      </c>
      <c r="AC34" s="75" t="str">
        <f t="shared" si="8"/>
        <v>&lt; 28 dB(A)</v>
      </c>
    </row>
    <row r="35" spans="1:29" x14ac:dyDescent="0.3">
      <c r="A35" s="32">
        <v>2520</v>
      </c>
      <c r="B35" s="49">
        <v>3000</v>
      </c>
      <c r="C35" s="64">
        <v>100</v>
      </c>
      <c r="D35" s="53">
        <f t="shared" si="9"/>
        <v>1350</v>
      </c>
      <c r="E35" s="33">
        <f>F$5^Konstanten!$E$4*$A35*$D35^Konstanten!$F$4*F$4^Konstanten!$G$4*E$5^Konstanten!$H$4*(Konstanten!$C$4-F$4^Konstanten!$I$4*Konstanten!$D$4)</f>
        <v>12716.26173737118</v>
      </c>
      <c r="F35" s="34">
        <f>Konstanten!$C$23*(((($E$3+$F$3)*Konstanten!$I$23+$G$3)/(Konstanten!$I$23+2))^Konstanten!$D$23*$D35^Konstanten!$E$23*ABS($F$4)^Konstanten!$F$23+Konstanten!$H$23*($D35*$A35)^Konstanten!$G$23)</f>
        <v>45.642027905307671</v>
      </c>
      <c r="G35" s="36">
        <f>3.6*E35/(F$4*Konstanten!$K$3)</f>
        <v>1093.2885418662192</v>
      </c>
      <c r="H35" s="39">
        <f xml:space="preserve"> 0.00016803*G35^1.7688</f>
        <v>39.838312639321842</v>
      </c>
      <c r="I35" s="33">
        <f>J$5^Konstanten!$E$4*$A35*$D35^Konstanten!$F$4*J$4^Konstanten!$G$4*I$5^Konstanten!$H$4*(Konstanten!$C$4-J$4^Konstanten!$I$4*Konstanten!$D$4)</f>
        <v>10554.945557888006</v>
      </c>
      <c r="J35" s="34">
        <f>Konstanten!$C$23*(((($I$3+$J$3)*Konstanten!$I$23+$K$3)/(Konstanten!$I$23+2))^Konstanten!$D$23*$D35^Konstanten!$E$23*ABS($J$4)^Konstanten!$F$23+Konstanten!$H$23*($D35*$A35)^Konstanten!$G$23)</f>
        <v>43.008591076414014</v>
      </c>
      <c r="K35" s="36">
        <f>3.6*I35/(J$4*Konstanten!$K$3)</f>
        <v>604.97868932384722</v>
      </c>
      <c r="L35" s="39">
        <f xml:space="preserve"> 0.00016803*K35^1.7688</f>
        <v>13.987132050887254</v>
      </c>
      <c r="M35" s="33">
        <f>IF(M$7="trocken",N35,IF(Konstanten!$A$18*(N$6^Konstanten!$B$18*N$5^Konstanten!$C$18*N35^Konstanten!$D$18*M$5^Konstanten!$E$18+N$4^Konstanten!$F$18)&lt;1,N35,N35*Konstanten!$A$18*(N$6^Konstanten!$B$18*N$5^Konstanten!$C$18*N35^Konstanten!$D$18*M$5^Konstanten!$E$18+N$4^Konstanten!$F$18)))</f>
        <v>5785.6969100588449</v>
      </c>
      <c r="N35" s="33">
        <f>N$5^Konstanten!$E$6*$A35*$D35^Konstanten!$F$6*N$4^Konstanten!$G$6*M$5^Konstanten!$H$6*(Konstanten!$C$6-N$4^Konstanten!$I$6*Konstanten!$D$6)</f>
        <v>4866.1183488503029</v>
      </c>
      <c r="O35" s="34">
        <f>Konstanten!$C$25*(((($M$3+$N$3)*Konstanten!$I$25+$O$3)/(Konstanten!$I$25+2))^Konstanten!$D$25*$D35^Konstanten!$E$25*ABS($N$4)^Konstanten!$F$25+Konstanten!$H$25*($D35*$A35)^Konstanten!$G$25)</f>
        <v>15.499855203145806</v>
      </c>
      <c r="P35" s="36">
        <f>3.6*M35/(N$4*Konstanten!$K$3)</f>
        <v>710.61271994163189</v>
      </c>
      <c r="Q35" s="39">
        <f>0.00017425*P35^1.7977</f>
        <v>23.310596647249014</v>
      </c>
      <c r="R35" s="67">
        <f t="shared" si="0"/>
        <v>1.4667624370184984</v>
      </c>
      <c r="S35" s="33">
        <f>IF(S$7="trocken",T35,IF(Konstanten!$A$18*(T$6^Konstanten!$B$18*T$5^Konstanten!$C$18*T35^Konstanten!$D$18*S$5^Konstanten!$E$18+T$4^Konstanten!$F$18)&lt;1,T35,T35*Konstanten!$A$18*(T$6^Konstanten!$B$18*T$5^Konstanten!$C$18*T35^Konstanten!$D$18*S$5^Konstanten!$E$18+T$4^Konstanten!$F$18)))</f>
        <v>3783.9547086293519</v>
      </c>
      <c r="T35" s="33">
        <f>T$5^Konstanten!$E$6*$A35*$D35^Konstanten!$F$6*T$4^Konstanten!$G$6*S$5^Konstanten!$H$6*(Konstanten!$C$6-T$4^Konstanten!$I$6*Konstanten!$D$6)</f>
        <v>3783.9547086293519</v>
      </c>
      <c r="U35" s="34">
        <f>Konstanten!$C$25*(((($S$3+$T$3)*Konstanten!$I$25+$U$3)/(Konstanten!$I$25+2))^Konstanten!$D$25*$D35^Konstanten!$E$25*ABS($T$4)^Konstanten!$F$25+Konstanten!$H$25*($D35*$A35)^Konstanten!$G$25)</f>
        <v>19.99116425133629</v>
      </c>
      <c r="V35" s="36">
        <f>3.6*S35/(T$4*Konstanten!$K$3)</f>
        <v>1626.6393423341201</v>
      </c>
      <c r="W35" s="39">
        <f>0.00017425*V35^1.7977</f>
        <v>103.30256532508294</v>
      </c>
      <c r="X35" s="67">
        <f t="shared" si="1"/>
        <v>0</v>
      </c>
      <c r="Y35" s="45">
        <f t="shared" si="6"/>
        <v>1470</v>
      </c>
      <c r="Z35" s="45">
        <v>1470</v>
      </c>
      <c r="AA35" s="100">
        <f t="shared" si="7"/>
        <v>51.3</v>
      </c>
      <c r="AB35" s="100">
        <v>59.3</v>
      </c>
      <c r="AC35" s="75">
        <f t="shared" si="8"/>
        <v>59.3</v>
      </c>
    </row>
    <row r="36" spans="1:29" x14ac:dyDescent="0.3">
      <c r="A36">
        <v>2520</v>
      </c>
      <c r="B36" s="50">
        <v>3000</v>
      </c>
      <c r="C36" s="65">
        <v>80</v>
      </c>
      <c r="D36" s="27">
        <f t="shared" si="9"/>
        <v>1090</v>
      </c>
      <c r="E36" s="23">
        <f>F$5^Konstanten!$E$4*$A36*$D36^Konstanten!$F$4*F$4^Konstanten!$G$4*E$5^Konstanten!$H$4*(Konstanten!$C$4-F$4^Konstanten!$I$4*Konstanten!$D$4)</f>
        <v>10123.489786367332</v>
      </c>
      <c r="F36" s="28">
        <f>Konstanten!$C$23*(((($E$3+$F$3)*Konstanten!$I$23+$G$3)/(Konstanten!$I$23+2))^Konstanten!$D$23*$D36^Konstanten!$E$23*ABS($F$4)^Konstanten!$F$23+Konstanten!$H$23*($D36*$A36)^Konstanten!$G$23)</f>
        <v>46.750158262427064</v>
      </c>
      <c r="G36" s="37">
        <f>3.6*E36/(F$4*Konstanten!$K$3)</f>
        <v>870.37335466351897</v>
      </c>
      <c r="H36" s="40">
        <f t="shared" ref="H36:H39" si="27" xml:space="preserve"> 0.00016803*G36^1.7688</f>
        <v>26.615710866620606</v>
      </c>
      <c r="I36" s="23">
        <f>J$5^Konstanten!$E$4*$A36*$D36^Konstanten!$F$4*J$4^Konstanten!$G$4*I$5^Konstanten!$H$4*(Konstanten!$C$4-J$4^Konstanten!$I$4*Konstanten!$D$4)</f>
        <v>8402.8534295513873</v>
      </c>
      <c r="J36" s="28">
        <f>Konstanten!$C$23*(((($I$3+$J$3)*Konstanten!$I$23+$K$3)/(Konstanten!$I$23+2))^Konstanten!$D$23*$D36^Konstanten!$E$23*ABS($J$4)^Konstanten!$F$23+Konstanten!$H$23*($D36*$A36)^Konstanten!$G$23)</f>
        <v>44.04313399798697</v>
      </c>
      <c r="K36" s="37">
        <f>3.6*I36/(J$4*Konstanten!$K$3)</f>
        <v>481.62704644092793</v>
      </c>
      <c r="L36" s="40">
        <f t="shared" ref="L36:L39" si="28" xml:space="preserve"> 0.00016803*K36^1.7688</f>
        <v>9.3447095987746565</v>
      </c>
      <c r="M36" s="23">
        <f>IF(M$7="trocken",N36,IF(Konstanten!$A$18*(N$6^Konstanten!$B$18*N$5^Konstanten!$C$18*N36^Konstanten!$D$18*M$5^Konstanten!$E$18+N$4^Konstanten!$F$18)&lt;1,N36,N36*Konstanten!$A$18*(N$6^Konstanten!$B$18*N$5^Konstanten!$C$18*N36^Konstanten!$D$18*M$5^Konstanten!$E$18+N$4^Konstanten!$F$18)))</f>
        <v>4271.6439248711067</v>
      </c>
      <c r="N36" s="23">
        <f>N$5^Konstanten!$E$6*$A36*$D36^Konstanten!$F$6*N$4^Konstanten!$G$6*M$5^Konstanten!$H$6*(Konstanten!$C$6-N$4^Konstanten!$I$6*Konstanten!$D$6)</f>
        <v>3559.2802005864846</v>
      </c>
      <c r="O36" s="28">
        <f>Konstanten!$C$25*(((($M$3+$N$3)*Konstanten!$I$25+$O$3)/(Konstanten!$I$25+2))^Konstanten!$D$25*$D36^Konstanten!$E$25*ABS($N$4)^Konstanten!$F$25+Konstanten!$H$25*($D36*$A36)^Konstanten!$G$25)</f>
        <v>15.068131841238246</v>
      </c>
      <c r="P36" s="37">
        <f>3.6*M36/(N$4*Konstanten!$K$3)</f>
        <v>524.65321900934691</v>
      </c>
      <c r="Q36" s="40">
        <f t="shared" ref="Q36:Q39" si="29">0.00017425*P36^1.7977</f>
        <v>13.510993830160739</v>
      </c>
      <c r="R36" s="68">
        <f t="shared" si="0"/>
        <v>1.1362469682873901</v>
      </c>
      <c r="S36" s="23">
        <f>IF(S$7="trocken",T36,IF(Konstanten!$A$18*(T$6^Konstanten!$B$18*T$5^Konstanten!$C$18*T36^Konstanten!$D$18*S$5^Konstanten!$E$18+T$4^Konstanten!$F$18)&lt;1,T36,T36*Konstanten!$A$18*(T$6^Konstanten!$B$18*T$5^Konstanten!$C$18*T36^Konstanten!$D$18*S$5^Konstanten!$E$18+T$4^Konstanten!$F$18)))</f>
        <v>2767.7409608261</v>
      </c>
      <c r="T36" s="23">
        <f>T$5^Konstanten!$E$6*$A36*$D36^Konstanten!$F$6*T$4^Konstanten!$G$6*S$5^Konstanten!$H$6*(Konstanten!$C$6-T$4^Konstanten!$I$6*Konstanten!$D$6)</f>
        <v>2767.7409608261</v>
      </c>
      <c r="U36" s="28">
        <f>Konstanten!$C$25*(((($S$3+$T$3)*Konstanten!$I$25+$U$3)/(Konstanten!$I$25+2))^Konstanten!$D$25*$D36^Konstanten!$E$25*ABS($T$4)^Konstanten!$F$25+Konstanten!$H$25*($D36*$A36)^Konstanten!$G$25)</f>
        <v>19.434250384386445</v>
      </c>
      <c r="V36" s="37">
        <f>3.6*S36/(T$4*Konstanten!$K$3)</f>
        <v>1189.7912852926715</v>
      </c>
      <c r="W36" s="40">
        <f t="shared" ref="W36:W39" si="30">0.00017425*V36^1.7977</f>
        <v>58.877127628326981</v>
      </c>
      <c r="X36" s="68">
        <f t="shared" si="1"/>
        <v>0</v>
      </c>
      <c r="Y36" s="46">
        <f t="shared" si="6"/>
        <v>1155</v>
      </c>
      <c r="Z36" s="46">
        <v>1155</v>
      </c>
      <c r="AA36" s="98">
        <f t="shared" si="7"/>
        <v>44.2</v>
      </c>
      <c r="AB36" s="98">
        <v>52.2</v>
      </c>
      <c r="AC36" s="75">
        <f t="shared" si="8"/>
        <v>52.2</v>
      </c>
    </row>
    <row r="37" spans="1:29" x14ac:dyDescent="0.3">
      <c r="A37">
        <v>2520</v>
      </c>
      <c r="B37" s="50">
        <v>3000</v>
      </c>
      <c r="C37" s="65">
        <v>60</v>
      </c>
      <c r="D37" s="27">
        <f t="shared" si="9"/>
        <v>870</v>
      </c>
      <c r="E37" s="23">
        <f>F$5^Konstanten!$E$4*$A37*$D37^Konstanten!$F$4*F$4^Konstanten!$G$4*E$5^Konstanten!$H$4*(Konstanten!$C$4-F$4^Konstanten!$I$4*Konstanten!$D$4)</f>
        <v>7961.0729146822769</v>
      </c>
      <c r="F37" s="28">
        <f>Konstanten!$C$23*(((($E$3+$F$3)*Konstanten!$I$23+$G$3)/(Konstanten!$I$23+2))^Konstanten!$D$23*$D37^Konstanten!$E$23*ABS($F$4)^Konstanten!$F$23+Konstanten!$H$23*($D37*$A37)^Konstanten!$G$23)</f>
        <v>47.954564582180616</v>
      </c>
      <c r="G37" s="37">
        <f>3.6*E37/(F$4*Konstanten!$K$3)</f>
        <v>684.45821408383154</v>
      </c>
      <c r="H37" s="40">
        <f t="shared" si="27"/>
        <v>17.399969797509272</v>
      </c>
      <c r="I37" s="23">
        <f>J$5^Konstanten!$E$4*$A37*$D37^Konstanten!$F$4*J$4^Konstanten!$G$4*I$5^Konstanten!$H$4*(Konstanten!$C$4-J$4^Konstanten!$I$4*Konstanten!$D$4)</f>
        <v>6607.9711893551666</v>
      </c>
      <c r="J37" s="28">
        <f>Konstanten!$C$23*(((($I$3+$J$3)*Konstanten!$I$23+$K$3)/(Konstanten!$I$23+2))^Konstanten!$D$23*$D37^Konstanten!$E$23*ABS($J$4)^Konstanten!$F$23+Konstanten!$H$23*($D37*$A37)^Konstanten!$G$23)</f>
        <v>45.167766268890247</v>
      </c>
      <c r="K37" s="37">
        <f>3.6*I37/(J$4*Konstanten!$K$3)</f>
        <v>378.74963232171791</v>
      </c>
      <c r="L37" s="40">
        <f t="shared" si="28"/>
        <v>6.1090859304867031</v>
      </c>
      <c r="M37" s="23">
        <f>IF(M$7="trocken",N37,IF(Konstanten!$A$18*(N$6^Konstanten!$B$18*N$5^Konstanten!$C$18*N37^Konstanten!$D$18*M$5^Konstanten!$E$18+N$4^Konstanten!$F$18)&lt;1,N37,N37*Konstanten!$A$18*(N$6^Konstanten!$B$18*N$5^Konstanten!$C$18*N37^Konstanten!$D$18*M$5^Konstanten!$E$18+N$4^Konstanten!$F$18)))</f>
        <v>3102.7374480988001</v>
      </c>
      <c r="N37" s="23">
        <f>N$5^Konstanten!$E$6*$A37*$D37^Konstanten!$F$6*N$4^Konstanten!$G$6*M$5^Konstanten!$H$6*(Konstanten!$C$6-N$4^Konstanten!$I$6*Konstanten!$D$6)</f>
        <v>2559.9545931485409</v>
      </c>
      <c r="O37" s="28">
        <f>Konstanten!$C$25*(((($M$3+$N$3)*Konstanten!$I$25+$O$3)/(Konstanten!$I$25+2))^Konstanten!$D$25*$D37^Konstanten!$E$25*ABS($N$4)^Konstanten!$F$25+Konstanten!$H$25*($D37*$A37)^Konstanten!$G$25)</f>
        <v>14.626204496238255</v>
      </c>
      <c r="P37" s="37">
        <f>3.6*M37/(N$4*Konstanten!$K$3)</f>
        <v>381.08541313751971</v>
      </c>
      <c r="Q37" s="40">
        <f t="shared" si="29"/>
        <v>7.6046043105839711</v>
      </c>
      <c r="R37" s="68">
        <f t="shared" si="0"/>
        <v>0.86575909517985528</v>
      </c>
      <c r="S37" s="23">
        <f>IF(S$7="trocken",T37,IF(Konstanten!$A$18*(T$6^Konstanten!$B$18*T$5^Konstanten!$C$18*T37^Konstanten!$D$18*S$5^Konstanten!$E$18+T$4^Konstanten!$F$18)&lt;1,T37,T37*Konstanten!$A$18*(T$6^Konstanten!$B$18*T$5^Konstanten!$C$18*T37^Konstanten!$D$18*S$5^Konstanten!$E$18+T$4^Konstanten!$F$18)))</f>
        <v>1990.6528247325523</v>
      </c>
      <c r="T37" s="23">
        <f>T$5^Konstanten!$E$6*$A37*$D37^Konstanten!$F$6*T$4^Konstanten!$G$6*S$5^Konstanten!$H$6*(Konstanten!$C$6-T$4^Konstanten!$I$6*Konstanten!$D$6)</f>
        <v>1990.6528247325523</v>
      </c>
      <c r="U37" s="28">
        <f>Konstanten!$C$25*(((($S$3+$T$3)*Konstanten!$I$25+$U$3)/(Konstanten!$I$25+2))^Konstanten!$D$25*$D37^Konstanten!$E$25*ABS($T$4)^Konstanten!$F$25+Konstanten!$H$25*($D37*$A37)^Konstanten!$G$25)</f>
        <v>18.864169579106253</v>
      </c>
      <c r="V37" s="37">
        <f>3.6*S37/(T$4*Konstanten!$K$3)</f>
        <v>855.73809703748634</v>
      </c>
      <c r="W37" s="40">
        <f t="shared" si="30"/>
        <v>32.556818872597752</v>
      </c>
      <c r="X37" s="68">
        <f t="shared" si="1"/>
        <v>0</v>
      </c>
      <c r="Y37" s="46">
        <f t="shared" si="6"/>
        <v>890</v>
      </c>
      <c r="Z37" s="46">
        <v>840</v>
      </c>
      <c r="AA37" s="98">
        <f t="shared" si="7"/>
        <v>35.5</v>
      </c>
      <c r="AB37" s="98">
        <v>43.5</v>
      </c>
      <c r="AC37" s="75">
        <f t="shared" si="8"/>
        <v>43.5</v>
      </c>
    </row>
    <row r="38" spans="1:29" x14ac:dyDescent="0.3">
      <c r="A38">
        <v>2520</v>
      </c>
      <c r="B38" s="50">
        <v>3000</v>
      </c>
      <c r="C38" s="65">
        <v>40</v>
      </c>
      <c r="D38" s="27">
        <f t="shared" si="9"/>
        <v>565</v>
      </c>
      <c r="E38" s="23">
        <f>F$5^Konstanten!$E$4*$A38*$D38^Konstanten!$F$4*F$4^Konstanten!$G$4*E$5^Konstanten!$H$4*(Konstanten!$C$4-F$4^Konstanten!$I$4*Konstanten!$D$4)</f>
        <v>5025.1355728604531</v>
      </c>
      <c r="F38" s="28">
        <f>Konstanten!$C$23*(((($E$3+$F$3)*Konstanten!$I$23+$G$3)/(Konstanten!$I$23+2))^Konstanten!$D$23*$D38^Konstanten!$E$23*ABS($F$4)^Konstanten!$F$23+Konstanten!$H$23*($D38*$A38)^Konstanten!$G$23)</f>
        <v>50.369463157258167</v>
      </c>
      <c r="G38" s="37">
        <f>3.6*E38/(F$4*Konstanten!$K$3)</f>
        <v>432.03916816110029</v>
      </c>
      <c r="H38" s="40">
        <f t="shared" si="27"/>
        <v>7.7108121712012485</v>
      </c>
      <c r="I38" s="23">
        <f>J$5^Konstanten!$E$4*$A38*$D38^Konstanten!$F$4*J$4^Konstanten!$G$4*I$5^Konstanten!$H$4*(Konstanten!$C$4-J$4^Konstanten!$I$4*Konstanten!$D$4)</f>
        <v>4171.0396882341429</v>
      </c>
      <c r="J38" s="28">
        <f>Konstanten!$C$23*(((($I$3+$J$3)*Konstanten!$I$23+$K$3)/(Konstanten!$I$23+2))^Konstanten!$D$23*$D38^Konstanten!$E$23*ABS($J$4)^Konstanten!$F$23+Konstanten!$H$23*($D38*$A38)^Konstanten!$G$23)</f>
        <v>47.423295871568136</v>
      </c>
      <c r="K38" s="37">
        <f>3.6*I38/(J$4*Konstanten!$K$3)</f>
        <v>239.07182750173828</v>
      </c>
      <c r="L38" s="40">
        <f t="shared" si="28"/>
        <v>2.7072468915695587</v>
      </c>
      <c r="M38" s="23">
        <f>IF(M$7="trocken",N38,IF(Konstanten!$A$18*(N$6^Konstanten!$B$18*N$5^Konstanten!$C$18*N38^Konstanten!$D$18*M$5^Konstanten!$E$18+N$4^Konstanten!$F$18)&lt;1,N38,N38*Konstanten!$A$18*(N$6^Konstanten!$B$18*N$5^Konstanten!$C$18*N38^Konstanten!$D$18*M$5^Konstanten!$E$18+N$4^Konstanten!$F$18)))</f>
        <v>1682.2178838473214</v>
      </c>
      <c r="N38" s="23">
        <f>N$5^Konstanten!$E$6*$A38*$D38^Konstanten!$F$6*N$4^Konstanten!$G$6*M$5^Konstanten!$H$6*(Konstanten!$C$6-N$4^Konstanten!$I$6*Konstanten!$D$6)</f>
        <v>1361.9777253282352</v>
      </c>
      <c r="O38" s="28">
        <f>Konstanten!$C$25*(((($M$3+$N$3)*Konstanten!$I$25+$O$3)/(Konstanten!$I$25+2))^Konstanten!$D$25*$D38^Konstanten!$E$25*ABS($N$4)^Konstanten!$F$25+Konstanten!$H$25*($D38*$A38)^Konstanten!$G$25)</f>
        <v>13.81592595145681</v>
      </c>
      <c r="P38" s="37">
        <f>3.6*M38/(N$4*Konstanten!$K$3)</f>
        <v>206.61390400470239</v>
      </c>
      <c r="Q38" s="40">
        <f t="shared" si="29"/>
        <v>2.5300849236692229</v>
      </c>
      <c r="R38" s="68">
        <f t="shared" si="0"/>
        <v>0.51079511327811722</v>
      </c>
      <c r="S38" s="23">
        <f>IF(S$7="trocken",T38,IF(Konstanten!$A$18*(T$6^Konstanten!$B$18*T$5^Konstanten!$C$18*T38^Konstanten!$D$18*S$5^Konstanten!$E$18+T$4^Konstanten!$F$18)&lt;1,T38,T38*Konstanten!$A$18*(T$6^Konstanten!$B$18*T$5^Konstanten!$C$18*T38^Konstanten!$D$18*S$5^Konstanten!$E$18+T$4^Konstanten!$F$18)))</f>
        <v>1059.0909750523649</v>
      </c>
      <c r="T38" s="23">
        <f>T$5^Konstanten!$E$6*$A38*$D38^Konstanten!$F$6*T$4^Konstanten!$G$6*S$5^Konstanten!$H$6*(Konstanten!$C$6-T$4^Konstanten!$I$6*Konstanten!$D$6)</f>
        <v>1059.0909750523649</v>
      </c>
      <c r="U38" s="28">
        <f>Konstanten!$C$25*(((($S$3+$T$3)*Konstanten!$I$25+$U$3)/(Konstanten!$I$25+2))^Konstanten!$D$25*$D38^Konstanten!$E$25*ABS($T$4)^Konstanten!$F$25+Konstanten!$H$25*($D38*$A38)^Konstanten!$G$25)</f>
        <v>17.818908251017799</v>
      </c>
      <c r="V38" s="37">
        <f>3.6*S38/(T$4*Konstanten!$K$3)</f>
        <v>455.28003895036306</v>
      </c>
      <c r="W38" s="40">
        <f t="shared" si="30"/>
        <v>10.470326955036491</v>
      </c>
      <c r="X38" s="68">
        <f t="shared" si="1"/>
        <v>0</v>
      </c>
      <c r="Y38" s="46">
        <f t="shared" si="6"/>
        <v>520</v>
      </c>
      <c r="Z38" s="46">
        <v>520</v>
      </c>
      <c r="AA38" s="98">
        <f t="shared" si="7"/>
        <v>25.1</v>
      </c>
      <c r="AB38" s="98">
        <v>33.1</v>
      </c>
      <c r="AC38" s="75">
        <f t="shared" si="8"/>
        <v>33.1</v>
      </c>
    </row>
    <row r="39" spans="1:29" x14ac:dyDescent="0.3">
      <c r="A39" s="22">
        <v>2520</v>
      </c>
      <c r="B39" s="51">
        <v>3000</v>
      </c>
      <c r="C39" s="66">
        <v>20</v>
      </c>
      <c r="D39" s="78">
        <f t="shared" si="9"/>
        <v>300</v>
      </c>
      <c r="E39" s="24">
        <f>F$5^Konstanten!$E$4*$A39*$D39^Konstanten!$F$4*F$4^Konstanten!$G$4*E$5^Konstanten!$H$4*(Konstanten!$C$4-F$4^Konstanten!$I$4*Konstanten!$D$4)</f>
        <v>2559.2034493217566</v>
      </c>
      <c r="F39" s="29">
        <f>Konstanten!$C$23*(((($E$3+$F$3)*Konstanten!$I$23+$G$3)/(Konstanten!$I$23+2))^Konstanten!$D$23*$D39^Konstanten!$E$23*ABS($F$4)^Konstanten!$F$23+Konstanten!$H$23*($D39*$A39)^Konstanten!$G$23)</f>
        <v>54.183343812771383</v>
      </c>
      <c r="G39" s="38">
        <f>3.6*E39/(F$4*Konstanten!$K$3)</f>
        <v>220.02911431315022</v>
      </c>
      <c r="H39" s="41">
        <f t="shared" si="27"/>
        <v>2.3375758819122878</v>
      </c>
      <c r="I39" s="24">
        <f>J$5^Konstanten!$E$4*$A39*$D39^Konstanten!$F$4*J$4^Konstanten!$G$4*I$5^Konstanten!$H$4*(Konstanten!$C$4-J$4^Konstanten!$I$4*Konstanten!$D$4)</f>
        <v>2124.2290884722347</v>
      </c>
      <c r="J39" s="29">
        <f>Konstanten!$C$23*(((($I$3+$J$3)*Konstanten!$I$23+$K$3)/(Konstanten!$I$23+2))^Konstanten!$D$23*$D39^Konstanten!$E$23*ABS($J$4)^Konstanten!$F$23+Konstanten!$H$23*($D39*$A39)^Konstanten!$G$23)</f>
        <v>50.986832299129887</v>
      </c>
      <c r="K39" s="38">
        <f>3.6*I39/(J$4*Konstanten!$K$3)</f>
        <v>121.754614717754</v>
      </c>
      <c r="L39" s="41">
        <f t="shared" si="28"/>
        <v>0.82071705283532104</v>
      </c>
      <c r="M39" s="24">
        <f>IF(M$7="trocken",N39,IF(Konstanten!$A$18*(N$6^Konstanten!$B$18*N$5^Konstanten!$C$18*N39^Konstanten!$D$18*M$5^Konstanten!$E$18+N$4^Konstanten!$F$18)&lt;1,N39,N39*Konstanten!$A$18*(N$6^Konstanten!$B$18*N$5^Konstanten!$C$18*N39^Konstanten!$D$18*M$5^Konstanten!$E$18+N$4^Konstanten!$F$18)))</f>
        <v>685.49293350795938</v>
      </c>
      <c r="N39" s="24">
        <f>N$5^Konstanten!$E$6*$A39*$D39^Konstanten!$F$6*N$4^Konstanten!$G$6*M$5^Konstanten!$H$6*(Konstanten!$C$6-N$4^Konstanten!$I$6*Konstanten!$D$6)</f>
        <v>539.82857034417202</v>
      </c>
      <c r="O39" s="29">
        <f>Konstanten!$C$25*(((($M$3+$N$3)*Konstanten!$I$25+$O$3)/(Konstanten!$I$25+2))^Konstanten!$D$25*$D39^Konstanten!$E$25*ABS($N$4)^Konstanten!$F$25+Konstanten!$H$25*($D39*$A39)^Konstanten!$G$25)</f>
        <v>12.708301448874339</v>
      </c>
      <c r="P39" s="38">
        <f>3.6*M39/(N$4*Konstanten!$K$3)</f>
        <v>84.193832748820043</v>
      </c>
      <c r="Q39" s="52">
        <f t="shared" si="29"/>
        <v>0.50378954063391146</v>
      </c>
      <c r="R39" s="69">
        <f t="shared" si="0"/>
        <v>0.2323401450552213</v>
      </c>
      <c r="S39" s="24">
        <f>IF(S$7="trocken",T39,IF(Konstanten!$A$18*(T$6^Konstanten!$B$18*T$5^Konstanten!$C$18*T39^Konstanten!$D$18*S$5^Konstanten!$E$18+T$4^Konstanten!$F$18)&lt;1,T39,T39*Konstanten!$A$18*(T$6^Konstanten!$B$18*T$5^Konstanten!$C$18*T39^Konstanten!$D$18*S$5^Konstanten!$E$18+T$4^Konstanten!$F$18)))</f>
        <v>419.77747234386499</v>
      </c>
      <c r="T39" s="24">
        <f>T$5^Konstanten!$E$6*$A39*$D39^Konstanten!$F$6*T$4^Konstanten!$G$6*S$5^Konstanten!$H$6*(Konstanten!$C$6-T$4^Konstanten!$I$6*Konstanten!$D$6)</f>
        <v>419.77747234386499</v>
      </c>
      <c r="U39" s="29">
        <f>Konstanten!$C$25*(((($S$3+$T$3)*Konstanten!$I$25+$U$3)/(Konstanten!$I$25+2))^Konstanten!$D$25*$D39^Konstanten!$E$25*ABS($T$4)^Konstanten!$F$25+Konstanten!$H$25*($D39*$A39)^Konstanten!$G$25)</f>
        <v>16.390039329927077</v>
      </c>
      <c r="V39" s="38">
        <f>3.6*S39/(T$4*Konstanten!$K$3)</f>
        <v>180.45315129774417</v>
      </c>
      <c r="W39" s="52">
        <f t="shared" si="30"/>
        <v>1.9835319287231543</v>
      </c>
      <c r="X39" s="69">
        <f t="shared" si="1"/>
        <v>0</v>
      </c>
      <c r="Y39" s="47">
        <f t="shared" si="6"/>
        <v>195</v>
      </c>
      <c r="Z39" s="47">
        <v>195</v>
      </c>
      <c r="AA39" s="99">
        <f t="shared" si="7"/>
        <v>19</v>
      </c>
      <c r="AB39" s="99">
        <v>27</v>
      </c>
      <c r="AC39" s="75" t="str">
        <f t="shared" si="8"/>
        <v>&lt; 28 dB(A)</v>
      </c>
    </row>
    <row r="40" spans="1:29" x14ac:dyDescent="0.3">
      <c r="C40" s="32"/>
      <c r="D40" s="53"/>
      <c r="E40" s="32"/>
      <c r="F40" s="32"/>
      <c r="G40" s="32"/>
      <c r="H40" s="32"/>
      <c r="I40" s="32"/>
      <c r="J40" s="32"/>
      <c r="K40" s="32"/>
      <c r="L40" s="32"/>
      <c r="M40" s="32"/>
      <c r="N40" s="32"/>
      <c r="S40" s="30"/>
    </row>
    <row r="41" spans="1:29" x14ac:dyDescent="0.3">
      <c r="A41" s="448" t="s">
        <v>62</v>
      </c>
      <c r="B41" s="449"/>
      <c r="C41" s="449"/>
      <c r="D41" s="449"/>
      <c r="E41" s="449"/>
      <c r="F41" s="449"/>
      <c r="G41" s="449"/>
      <c r="H41" s="449"/>
      <c r="I41" s="449"/>
      <c r="J41" s="449"/>
      <c r="K41" s="449"/>
      <c r="L41" s="449"/>
      <c r="M41" s="449"/>
      <c r="N41" s="449"/>
      <c r="O41" s="449"/>
      <c r="P41" s="449"/>
      <c r="Q41" s="449"/>
      <c r="R41" s="449"/>
      <c r="S41" s="449"/>
      <c r="T41" s="449"/>
      <c r="U41" s="449"/>
      <c r="V41" s="449"/>
      <c r="W41" s="449"/>
      <c r="X41" s="449"/>
      <c r="Y41" s="449"/>
      <c r="Z41" s="449"/>
      <c r="AA41" s="449"/>
      <c r="AB41" s="450"/>
    </row>
    <row r="42" spans="1:29" ht="15.6" x14ac:dyDescent="0.35">
      <c r="A42" s="244" t="s">
        <v>1</v>
      </c>
      <c r="B42" s="244" t="s">
        <v>129</v>
      </c>
      <c r="C42" s="244" t="s">
        <v>60</v>
      </c>
      <c r="D42" s="245" t="s">
        <v>5</v>
      </c>
      <c r="E42" s="35" t="s">
        <v>118</v>
      </c>
      <c r="F42" s="53" t="s">
        <v>119</v>
      </c>
      <c r="G42" s="53" t="s">
        <v>120</v>
      </c>
      <c r="H42" s="54" t="s">
        <v>121</v>
      </c>
      <c r="I42" s="35" t="s">
        <v>118</v>
      </c>
      <c r="J42" s="53" t="s">
        <v>119</v>
      </c>
      <c r="K42" s="53" t="s">
        <v>120</v>
      </c>
      <c r="L42" s="54" t="s">
        <v>121</v>
      </c>
      <c r="M42" s="243" t="s">
        <v>122</v>
      </c>
      <c r="N42" s="244" t="s">
        <v>123</v>
      </c>
      <c r="O42" s="53" t="s">
        <v>119</v>
      </c>
      <c r="P42" s="53" t="s">
        <v>124</v>
      </c>
      <c r="Q42" s="54" t="s">
        <v>125</v>
      </c>
      <c r="R42" s="54" t="s">
        <v>126</v>
      </c>
      <c r="S42" s="243" t="s">
        <v>122</v>
      </c>
      <c r="T42" s="244" t="s">
        <v>123</v>
      </c>
      <c r="U42" s="53" t="s">
        <v>119</v>
      </c>
      <c r="V42" s="53" t="s">
        <v>124</v>
      </c>
      <c r="W42" s="57" t="s">
        <v>125</v>
      </c>
      <c r="X42" s="57" t="s">
        <v>126</v>
      </c>
      <c r="Y42" s="58" t="s">
        <v>73</v>
      </c>
      <c r="Z42" s="59" t="s">
        <v>73</v>
      </c>
      <c r="AA42" s="56" t="s">
        <v>127</v>
      </c>
      <c r="AB42" s="56" t="s">
        <v>128</v>
      </c>
    </row>
    <row r="43" spans="1:29" x14ac:dyDescent="0.3">
      <c r="A43" s="32">
        <v>420</v>
      </c>
      <c r="B43" s="49">
        <v>950</v>
      </c>
      <c r="C43" s="64">
        <v>100</v>
      </c>
      <c r="D43" s="53">
        <v>1350</v>
      </c>
      <c r="E43" s="33">
        <f>F$5^Konstanten!$E$5*$A43*$D43^Konstanten!$F$5*F$4^Konstanten!$G$5*E$5^Konstanten!$H$5*(Konstanten!$C$5-F$4^Konstanten!$I$5*Konstanten!$D$5)</f>
        <v>1145.7871225395447</v>
      </c>
      <c r="F43" s="34">
        <f>Konstanten!$C$24*(((($E$3+$F$3)*Konstanten!$I$24+$G$3)/(Konstanten!$I$24+2))^Konstanten!$D$24*$D43^Konstanten!$E$24*ABS($F$4)^Konstanten!$F$24+Konstanten!$H$24*($D43*$A43)^Konstanten!$G$24)</f>
        <v>31.629515993111799</v>
      </c>
      <c r="G43" s="36">
        <f>3.6*E43/(F$4*Konstanten!$K$3)</f>
        <v>98.50976319627992</v>
      </c>
      <c r="H43" s="42">
        <f>0.00049103*G43^1.5514</f>
        <v>0.60784349590777942</v>
      </c>
      <c r="I43" s="33">
        <f>J$5^Konstanten!$E$5*$A43*$D43^Konstanten!$F$5*J$4^Konstanten!$G$5*I$5^Konstanten!$H$5*(Konstanten!$C$5-J$4^Konstanten!$I$5*Konstanten!$D$5)</f>
        <v>932.65608041578423</v>
      </c>
      <c r="J43" s="34">
        <f>Konstanten!$C$24*(((($I$3+$J$3)*Konstanten!$I$24+$K$3)/(Konstanten!$I$24+2))^Konstanten!$D$24*$D43^Konstanten!$E$24*ABS($J$4)^Konstanten!$F$24+Konstanten!$H$24*($D43*$A43)^Konstanten!$G$24)</f>
        <v>29.902801679573777</v>
      </c>
      <c r="K43" s="36">
        <f>3.6*I43/(J$4*Konstanten!$K$3)</f>
        <v>53.457125858710626</v>
      </c>
      <c r="L43" s="42">
        <f>0.00049103*K43^1.5514</f>
        <v>0.2354701835264004</v>
      </c>
      <c r="M43" s="33">
        <f>IF(M$7="trocken",N43,IF(Konstanten!$A$18*(N$6^Konstanten!$B$18*N$5^Konstanten!$C$18*N43^Konstanten!$D$18*M$5^Konstanten!$E$18+N$4^Konstanten!$F$18)&lt;1,N43,N43*Konstanten!$A$18*(N$6^Konstanten!$B$18*N$5^Konstanten!$C$18*N43^Konstanten!$D$18*M$5^Konstanten!$E$18+N$4^Konstanten!$F$18)))</f>
        <v>981.62157082772671</v>
      </c>
      <c r="N43" s="33">
        <f>N$5^Konstanten!$E$7*$A43*$D43^Konstanten!$F$7*N$4^Konstanten!$G$7*M$5^Konstanten!$H$7*(Konstanten!$C$7-N$4^Konstanten!$I$7*Konstanten!$D$7)</f>
        <v>781.64957579322106</v>
      </c>
      <c r="O43" s="34">
        <f>Konstanten!$C$26*(((($M$3+$N$3)*Konstanten!$I$26+$O$3)/(Konstanten!$I$26+2))^Konstanten!$D$26*$D43^Konstanten!$E$26*ABS($N$4)^Konstanten!$F$26+Konstanten!$H$26*($D43*$A43)^Konstanten!$G$26)</f>
        <v>15.916433836880014</v>
      </c>
      <c r="P43" s="36">
        <f>3.6*M43/(N$4*Konstanten!$K$3)</f>
        <v>120.5650391375537</v>
      </c>
      <c r="Q43" s="42">
        <f>0.00099843*P43^1.7385</f>
        <v>4.1449663665822412</v>
      </c>
      <c r="R43" s="67">
        <f t="shared" ref="R43:R72" si="31">3.6*(M43-N43)/2257</f>
        <v>0.31896286314763861</v>
      </c>
      <c r="S43" s="33">
        <f>IF(S$7="trocken",T43,IF(Konstanten!$A$18*(V$3^Konstanten!$B$18*T$5^Konstanten!$C$18*T43^Konstanten!$D$18*S$5^Konstanten!$E$18+T$4^Konstanten!$F$18)&lt;1,T43,T43*Konstanten!$A$18*(T$6^Konstanten!$B$18*T$5^Konstanten!$C$18*T43^Konstanten!$D$18*S$5^Konstanten!$E$18+T$4^Konstanten!$F$18)))</f>
        <v>582.91915197531625</v>
      </c>
      <c r="T43" s="33">
        <f>T$5^Konstanten!$E$7*$A43*$D43^Konstanten!$F$7*T$4^Konstanten!$G$7*S$5^Konstanten!$H$7*(Konstanten!$C$7-T$4^Konstanten!$I$7*Konstanten!$D$7)</f>
        <v>582.91915197531625</v>
      </c>
      <c r="U43" s="34">
        <f>Konstanten!$C$26*(((($S$3+$T$3)*Konstanten!$I$26+$U$3)/(Konstanten!$I$26+2))^Konstanten!$D$26*$D43^Konstanten!$E$26*ABS($T$4)^Konstanten!$F$26+Konstanten!$H$26*($D43*$A43)^Konstanten!$G$26)</f>
        <v>20.780929075905199</v>
      </c>
      <c r="V43" s="36">
        <f>3.6*S43/(T$4*Konstanten!$K$3)</f>
        <v>250.58419009104745</v>
      </c>
      <c r="W43" s="42">
        <f>0.00099843*V43^1.7385</f>
        <v>14.787629871117469</v>
      </c>
      <c r="X43" s="67">
        <f t="shared" ref="X43:X72" si="32">3.6*(S43-T43)/2257</f>
        <v>0</v>
      </c>
      <c r="Z43" s="45">
        <v>245</v>
      </c>
      <c r="AA43" s="98">
        <f>AB43-8</f>
        <v>43.3</v>
      </c>
      <c r="AB43" s="98">
        <v>51.3</v>
      </c>
      <c r="AC43" s="75">
        <f>IF(AB43&lt;28,"&lt; 28 dB(A)",AB43)</f>
        <v>51.3</v>
      </c>
    </row>
    <row r="44" spans="1:29" x14ac:dyDescent="0.3">
      <c r="A44">
        <v>420</v>
      </c>
      <c r="B44" s="50">
        <v>950</v>
      </c>
      <c r="C44" s="65">
        <v>80</v>
      </c>
      <c r="D44" s="27">
        <v>1090</v>
      </c>
      <c r="E44" s="23">
        <f>F$5^Konstanten!$E$5*$A44*$D44^Konstanten!$F$5*F$4^Konstanten!$G$5*E$5^Konstanten!$H$5*(Konstanten!$C$5-F$4^Konstanten!$I$5*Konstanten!$D$5)</f>
        <v>971.67623112770468</v>
      </c>
      <c r="F44" s="28">
        <f>Konstanten!$C$24*(((($E$3+$F$3)*Konstanten!$I$24+$G$3)/(Konstanten!$I$24+2))^Konstanten!$D$24*$D44^Konstanten!$E$24*ABS($F$4)^Konstanten!$F$24+Konstanten!$H$24*($D44*$A44)^Konstanten!$G$24)</f>
        <v>33.050681127040527</v>
      </c>
      <c r="G44" s="37">
        <f>3.6*E44/(F$4*Konstanten!$K$3)</f>
        <v>83.54047060651996</v>
      </c>
      <c r="H44" s="43">
        <f t="shared" ref="H44:H47" si="33">0.00049103*G44^1.5514</f>
        <v>0.47069426227900002</v>
      </c>
      <c r="I44" s="23">
        <f>J$5^Konstanten!$E$5*$A44*$D44^Konstanten!$F$5*J$4^Konstanten!$G$5*I$5^Konstanten!$H$5*(Konstanten!$C$5-J$4^Konstanten!$I$5*Konstanten!$D$5)</f>
        <v>790.9320390581272</v>
      </c>
      <c r="J44" s="28">
        <f>Konstanten!$C$24*(((($I$3+$J$3)*Konstanten!$I$24+$K$3)/(Konstanten!$I$24+2))^Konstanten!$D$24*$D44^Konstanten!$E$24*ABS($J$4)^Konstanten!$F$24+Konstanten!$H$24*($D44*$A44)^Konstanten!$G$24)</f>
        <v>31.173346242129945</v>
      </c>
      <c r="K44" s="37">
        <f>3.6*I44/(J$4*Konstanten!$K$3)</f>
        <v>45.33391723427976</v>
      </c>
      <c r="L44" s="43">
        <f t="shared" ref="L44:L47" si="34">0.00049103*K44^1.5514</f>
        <v>0.18234046275042373</v>
      </c>
      <c r="M44" s="23">
        <f>IF(M$7="trocken",N44,IF(Konstanten!$A$18*(N$6^Konstanten!$B$18*N$5^Konstanten!$C$18*N44^Konstanten!$D$18*M$5^Konstanten!$E$18+N$4^Konstanten!$F$18)&lt;1,N44,N44*Konstanten!$A$18*(N$6^Konstanten!$B$18*N$5^Konstanten!$C$18*N44^Konstanten!$D$18*M$5^Konstanten!$E$18+N$4^Konstanten!$F$18)))</f>
        <v>728.27661869745816</v>
      </c>
      <c r="N44" s="23">
        <f>N$5^Konstanten!$E$7*$A44*$D44^Konstanten!$F$7*N$4^Konstanten!$G$7*M$5^Konstanten!$H$7*(Konstanten!$C$7-N$4^Konstanten!$I$7*Konstanten!$D$7)</f>
        <v>574.59424454693556</v>
      </c>
      <c r="O44" s="28">
        <f>Konstanten!$C$26*(((($M$3+$N$3)*Konstanten!$I$26+$O$3)/(Konstanten!$I$26+2))^Konstanten!$D$26*$D44^Konstanten!$E$26*ABS($N$4)^Konstanten!$F$26+Konstanten!$H$26*($D44*$A44)^Konstanten!$G$26)</f>
        <v>15.380069663332277</v>
      </c>
      <c r="P44" s="37">
        <f>3.6*M44/(N$4*Konstanten!$K$3)</f>
        <v>89.448624241402214</v>
      </c>
      <c r="Q44" s="43">
        <f t="shared" ref="Q44:Q47" si="35">0.00099843*P44^1.7385</f>
        <v>2.4667687558813181</v>
      </c>
      <c r="R44" s="68">
        <f t="shared" si="31"/>
        <v>0.24512917454226027</v>
      </c>
      <c r="S44" s="23">
        <f>IF(S$7="trocken",T44,IF(Konstanten!$A$18*(V$3^Konstanten!$B$18*T$5^Konstanten!$C$18*T44^Konstanten!$D$18*S$5^Konstanten!$E$18+T$4^Konstanten!$F$18)&lt;1,T44,T44*Konstanten!$A$18*(T$6^Konstanten!$B$18*T$5^Konstanten!$C$18*T44^Konstanten!$D$18*S$5^Konstanten!$E$18+T$4^Konstanten!$F$18)))</f>
        <v>428.50658419573341</v>
      </c>
      <c r="T44" s="23">
        <f>T$5^Konstanten!$E$7*$A44*$D44^Konstanten!$F$7*T$4^Konstanten!$G$7*S$5^Konstanten!$H$7*(Konstanten!$C$7-T$4^Konstanten!$I$7*Konstanten!$D$7)</f>
        <v>428.50658419573341</v>
      </c>
      <c r="U44" s="28">
        <f>Konstanten!$C$26*(((($S$3+$T$3)*Konstanten!$I$26+$U$3)/(Konstanten!$I$26+2))^Konstanten!$D$26*$D44^Konstanten!$E$26*ABS($T$4)^Konstanten!$F$26+Konstanten!$H$26*($D44*$A44)^Konstanten!$G$26)</f>
        <v>20.068653210033744</v>
      </c>
      <c r="V44" s="37">
        <f>3.6*S44/(T$4*Konstanten!$K$3)</f>
        <v>184.20560550379028</v>
      </c>
      <c r="W44" s="43">
        <f t="shared" ref="W44:W47" si="36">0.00099843*V44^1.7385</f>
        <v>8.6605727179505561</v>
      </c>
      <c r="X44" s="68">
        <f t="shared" si="32"/>
        <v>0</v>
      </c>
      <c r="Z44" s="46">
        <v>195</v>
      </c>
      <c r="AA44" s="98">
        <f t="shared" ref="AA44:AA72" si="37">AB44-8</f>
        <v>36.200000000000003</v>
      </c>
      <c r="AB44" s="98">
        <v>44.2</v>
      </c>
      <c r="AC44" s="75">
        <f t="shared" ref="AC44:AC72" si="38">IF(AB44&lt;28,"&lt; 28 dB(A)",AB44)</f>
        <v>44.2</v>
      </c>
    </row>
    <row r="45" spans="1:29" x14ac:dyDescent="0.3">
      <c r="A45">
        <v>420</v>
      </c>
      <c r="B45" s="50">
        <v>950</v>
      </c>
      <c r="C45" s="65">
        <v>60</v>
      </c>
      <c r="D45" s="27">
        <v>830</v>
      </c>
      <c r="E45" s="23">
        <f>F$5^Konstanten!$E$5*$A45*$D45^Konstanten!$F$5*F$4^Konstanten!$G$5*E$5^Konstanten!$H$5*(Konstanten!$C$5-F$4^Konstanten!$I$5*Konstanten!$D$5)</f>
        <v>787.65777606013341</v>
      </c>
      <c r="F45" s="28">
        <f>Konstanten!$C$24*(((($E$3+$F$3)*Konstanten!$I$24+$G$3)/(Konstanten!$I$24+2))^Konstanten!$D$24*$D45^Konstanten!$E$24*ABS($F$4)^Konstanten!$F$24+Konstanten!$H$24*($D45*$A45)^Konstanten!$G$24)</f>
        <v>35.110181266282517</v>
      </c>
      <c r="G45" s="37">
        <f>3.6*E45/(F$4*Konstanten!$K$3)</f>
        <v>67.719369045984607</v>
      </c>
      <c r="H45" s="43">
        <f t="shared" si="33"/>
        <v>0.33984119673274421</v>
      </c>
      <c r="I45" s="23">
        <f>J$5^Konstanten!$E$5*$A45*$D45^Konstanten!$F$5*J$4^Konstanten!$G$5*I$5^Konstanten!$H$5*(Konstanten!$C$5-J$4^Konstanten!$I$5*Konstanten!$D$5)</f>
        <v>641.14336745297442</v>
      </c>
      <c r="J45" s="28">
        <f>Konstanten!$C$24*(((($I$3+$J$3)*Konstanten!$I$24+$K$3)/(Konstanten!$I$24+2))^Konstanten!$D$24*$D45^Konstanten!$E$24*ABS($J$4)^Konstanten!$F$24+Konstanten!$H$24*($D45*$A45)^Konstanten!$G$24)</f>
        <v>33.021803819865099</v>
      </c>
      <c r="K45" s="37">
        <f>3.6*I45/(J$4*Konstanten!$K$3)</f>
        <v>36.748467529565424</v>
      </c>
      <c r="L45" s="43">
        <f t="shared" si="34"/>
        <v>0.13164979061753707</v>
      </c>
      <c r="M45" s="23">
        <f>IF(M$7="trocken",N45,IF(Konstanten!$A$18*(N$6^Konstanten!$B$18*N$5^Konstanten!$C$18*N45^Konstanten!$D$18*M$5^Konstanten!$E$18+N$4^Konstanten!$F$18)&lt;1,N45,N45*Konstanten!$A$18*(N$6^Konstanten!$B$18*N$5^Konstanten!$C$18*N45^Konstanten!$D$18*M$5^Konstanten!$E$18+N$4^Konstanten!$F$18)))</f>
        <v>497.90747793505398</v>
      </c>
      <c r="N45" s="23">
        <f>N$5^Konstanten!$E$7*$A45*$D45^Konstanten!$F$7*N$4^Konstanten!$G$7*M$5^Konstanten!$H$7*(Konstanten!$C$7-N$4^Konstanten!$I$7*Konstanten!$D$7)</f>
        <v>388.25079725374275</v>
      </c>
      <c r="O45" s="28">
        <f>Konstanten!$C$26*(((($M$3+$N$3)*Konstanten!$I$26+$O$3)/(Konstanten!$I$26+2))^Konstanten!$D$26*$D45^Konstanten!$E$26*ABS($N$4)^Konstanten!$F$26+Konstanten!$H$26*($D45*$A45)^Konstanten!$G$26)</f>
        <v>14.730253585438664</v>
      </c>
      <c r="P45" s="37">
        <f>3.6*M45/(N$4*Konstanten!$K$3)</f>
        <v>61.154151811783755</v>
      </c>
      <c r="Q45" s="43">
        <f t="shared" si="35"/>
        <v>1.2735591803254156</v>
      </c>
      <c r="R45" s="68">
        <f t="shared" si="31"/>
        <v>0.17490653542433338</v>
      </c>
      <c r="S45" s="23">
        <f>IF(S$7="trocken",T45,IF(Konstanten!$A$18*(V$3^Konstanten!$B$18*T$5^Konstanten!$C$18*T45^Konstanten!$D$18*S$5^Konstanten!$E$18+T$4^Konstanten!$F$18)&lt;1,T45,T45*Konstanten!$A$18*(T$6^Konstanten!$B$18*T$5^Konstanten!$C$18*T45^Konstanten!$D$18*S$5^Konstanten!$E$18+T$4^Konstanten!$F$18)))</f>
        <v>289.54000935677976</v>
      </c>
      <c r="T45" s="23">
        <f>T$5^Konstanten!$E$7*$A45*$D45^Konstanten!$F$7*T$4^Konstanten!$G$7*S$5^Konstanten!$H$7*(Konstanten!$C$7-T$4^Konstanten!$I$7*Konstanten!$D$7)</f>
        <v>289.54000935677976</v>
      </c>
      <c r="U45" s="28">
        <f>Konstanten!$C$26*(((($S$3+$T$3)*Konstanten!$I$26+$U$3)/(Konstanten!$I$26+2))^Konstanten!$D$26*$D45^Konstanten!$E$26*ABS($T$4)^Konstanten!$F$26+Konstanten!$H$26*($D45*$A45)^Konstanten!$G$26)</f>
        <v>19.203937120120404</v>
      </c>
      <c r="V45" s="37">
        <f>3.6*S45/(T$4*Konstanten!$K$3)</f>
        <v>124.46691534797138</v>
      </c>
      <c r="W45" s="43">
        <f t="shared" si="36"/>
        <v>4.3809558171894274</v>
      </c>
      <c r="X45" s="68">
        <f t="shared" si="32"/>
        <v>0</v>
      </c>
      <c r="Z45" s="46">
        <v>140</v>
      </c>
      <c r="AA45" s="98">
        <f t="shared" si="37"/>
        <v>27.4</v>
      </c>
      <c r="AB45" s="98">
        <v>35.4</v>
      </c>
      <c r="AC45" s="75">
        <f t="shared" si="38"/>
        <v>35.4</v>
      </c>
    </row>
    <row r="46" spans="1:29" x14ac:dyDescent="0.3">
      <c r="A46">
        <v>420</v>
      </c>
      <c r="B46" s="50">
        <v>950</v>
      </c>
      <c r="C46" s="65">
        <v>40</v>
      </c>
      <c r="D46" s="27">
        <v>565</v>
      </c>
      <c r="E46" s="23">
        <f>F$5^Konstanten!$E$5*$A46*$D46^Konstanten!$F$5*F$4^Konstanten!$G$5*E$5^Konstanten!$H$5*(Konstanten!$C$5-F$4^Konstanten!$I$5*Konstanten!$D$5)</f>
        <v>585.66068027855897</v>
      </c>
      <c r="F46" s="28">
        <f>Konstanten!$C$24*(((($E$3+$F$3)*Konstanten!$I$24+$G$3)/(Konstanten!$I$24+2))^Konstanten!$D$24*$D46^Konstanten!$E$24*ABS($F$4)^Konstanten!$F$24+Konstanten!$H$24*($D46*$A46)^Konstanten!$G$24)</f>
        <v>38.543108192246038</v>
      </c>
      <c r="G46" s="37">
        <f>3.6*E46/(F$4*Konstanten!$K$3)</f>
        <v>50.35254262566724</v>
      </c>
      <c r="H46" s="43">
        <f t="shared" si="33"/>
        <v>0.21459719230342544</v>
      </c>
      <c r="I46" s="23">
        <f>J$5^Konstanten!$E$5*$A46*$D46^Konstanten!$F$5*J$4^Konstanten!$G$5*I$5^Konstanten!$H$5*(Konstanten!$C$5-J$4^Konstanten!$I$5*Konstanten!$D$5)</f>
        <v>476.72031198220304</v>
      </c>
      <c r="J46" s="28">
        <f>Konstanten!$C$24*(((($I$3+$J$3)*Konstanten!$I$24+$K$3)/(Konstanten!$I$24+2))^Konstanten!$D$24*$D46^Konstanten!$E$24*ABS($J$4)^Konstanten!$F$24+Konstanten!$H$24*($D46*$A46)^Konstanten!$G$24)</f>
        <v>36.115896080096732</v>
      </c>
      <c r="K46" s="37">
        <f>3.6*I46/(J$4*Konstanten!$K$3)</f>
        <v>27.324217631943647</v>
      </c>
      <c r="L46" s="43">
        <f t="shared" si="34"/>
        <v>8.3131991369706698E-2</v>
      </c>
      <c r="M46" s="23">
        <f>IF(M$7="trocken",N46,IF(Konstanten!$A$18*(N$6^Konstanten!$B$18*N$5^Konstanten!$C$18*N46^Konstanten!$D$18*M$5^Konstanten!$E$18+N$4^Konstanten!$F$18)&lt;1,N46,N46*Konstanten!$A$18*(N$6^Konstanten!$B$18*N$5^Konstanten!$C$18*N46^Konstanten!$D$18*M$5^Konstanten!$E$18+N$4^Konstanten!$F$18)))</f>
        <v>291.12060595142026</v>
      </c>
      <c r="N46" s="23">
        <f>N$5^Konstanten!$E$7*$A46*$D46^Konstanten!$F$7*N$4^Konstanten!$G$7*M$5^Konstanten!$H$7*(Konstanten!$C$7-N$4^Konstanten!$I$7*Konstanten!$D$7)</f>
        <v>223.27162401360337</v>
      </c>
      <c r="O46" s="28">
        <f>Konstanten!$C$26*(((($M$3+$N$3)*Konstanten!$I$26+$O$3)/(Konstanten!$I$26+2))^Konstanten!$D$26*$D46^Konstanten!$E$26*ABS($N$4)^Konstanten!$F$26+Konstanten!$H$26*($D46*$A46)^Konstanten!$G$26)</f>
        <v>13.875122599565334</v>
      </c>
      <c r="P46" s="37">
        <f>3.6*M46/(N$4*Konstanten!$K$3)</f>
        <v>35.756108355162823</v>
      </c>
      <c r="Q46" s="43">
        <f t="shared" si="35"/>
        <v>0.50097611698072286</v>
      </c>
      <c r="R46" s="68">
        <f t="shared" si="31"/>
        <v>0.10822168142496269</v>
      </c>
      <c r="S46" s="23">
        <f>IF(S$7="trocken",T46,IF(Konstanten!$A$18*(V$3^Konstanten!$B$18*T$5^Konstanten!$C$18*T46^Konstanten!$D$18*S$5^Konstanten!$E$18+T$4^Konstanten!$F$18)&lt;1,T46,T46*Konstanten!$A$18*(T$6^Konstanten!$B$18*T$5^Konstanten!$C$18*T46^Konstanten!$D$18*S$5^Konstanten!$E$18+T$4^Konstanten!$F$18)))</f>
        <v>166.50595069802895</v>
      </c>
      <c r="T46" s="23">
        <f>T$5^Konstanten!$E$7*$A46*$D46^Konstanten!$F$7*T$4^Konstanten!$G$7*S$5^Konstanten!$H$7*(Konstanten!$C$7-T$4^Konstanten!$I$7*Konstanten!$D$7)</f>
        <v>166.50595069802895</v>
      </c>
      <c r="U46" s="28">
        <f>Konstanten!$C$26*(((($S$3+$T$3)*Konstanten!$I$26+$U$3)/(Konstanten!$I$26+2))^Konstanten!$D$26*$D46^Konstanten!$E$26*ABS($T$4)^Konstanten!$F$26+Konstanten!$H$26*($D46*$A46)^Konstanten!$G$26)</f>
        <v>18.062164087255628</v>
      </c>
      <c r="V46" s="37">
        <f>3.6*S46/(T$4*Konstanten!$K$3)</f>
        <v>71.577265319929396</v>
      </c>
      <c r="W46" s="43">
        <f t="shared" si="36"/>
        <v>1.6743418641953083</v>
      </c>
      <c r="X46" s="68">
        <f t="shared" si="32"/>
        <v>0</v>
      </c>
      <c r="Z46" s="46">
        <v>90</v>
      </c>
      <c r="AA46" s="98">
        <f t="shared" si="37"/>
        <v>17.100000000000001</v>
      </c>
      <c r="AB46" s="98">
        <v>25.1</v>
      </c>
      <c r="AC46" s="75" t="str">
        <f t="shared" si="38"/>
        <v>&lt; 28 dB(A)</v>
      </c>
    </row>
    <row r="47" spans="1:29" x14ac:dyDescent="0.3">
      <c r="A47" s="22">
        <v>420</v>
      </c>
      <c r="B47" s="51">
        <v>950</v>
      </c>
      <c r="C47" s="66">
        <v>20</v>
      </c>
      <c r="D47" s="78">
        <v>300</v>
      </c>
      <c r="E47" s="24">
        <f>F$5^Konstanten!$E$5*$A47*$D47^Konstanten!$F$5*F$4^Konstanten!$G$5*E$5^Konstanten!$H$5*(Konstanten!$C$5-F$4^Konstanten!$I$5*Konstanten!$D$5)</f>
        <v>359.60244690808992</v>
      </c>
      <c r="F47" s="29">
        <f>Konstanten!$C$24*(((($E$3+$F$3)*Konstanten!$I$24+$G$3)/(Konstanten!$I$24+2))^Konstanten!$D$24*$D47^Konstanten!$E$24*ABS($F$4)^Konstanten!$F$24+Konstanten!$H$24*($D47*$A47)^Konstanten!$G$24)</f>
        <v>45.761071235860257</v>
      </c>
      <c r="G47" s="38">
        <f>3.6*E47/(F$4*Konstanten!$K$3)</f>
        <v>30.9170448793346</v>
      </c>
      <c r="H47" s="44">
        <f t="shared" si="33"/>
        <v>0.10069343750237507</v>
      </c>
      <c r="I47" s="24">
        <f>J$5^Konstanten!$E$5*$A47*$D47^Konstanten!$F$5*J$4^Konstanten!$G$5*I$5^Konstanten!$H$5*(Konstanten!$C$5-J$4^Konstanten!$I$5*Konstanten!$D$5)</f>
        <v>292.71179789302357</v>
      </c>
      <c r="J47" s="29">
        <f>Konstanten!$C$24*(((($I$3+$J$3)*Konstanten!$I$24+$K$3)/(Konstanten!$I$24+2))^Konstanten!$D$24*$D47^Konstanten!$E$24*ABS($J$4)^Konstanten!$F$24+Konstanten!$H$24*($D47*$A47)^Konstanten!$G$24)</f>
        <v>42.65230517174691</v>
      </c>
      <c r="K47" s="38">
        <f>3.6*I47/(J$4*Konstanten!$K$3)</f>
        <v>16.777386379469114</v>
      </c>
      <c r="L47" s="44">
        <f t="shared" si="34"/>
        <v>3.9007248359511443E-2</v>
      </c>
      <c r="M47" s="24">
        <f>IF(M$7="trocken",N47,IF(Konstanten!$A$18*(N$6^Konstanten!$B$18*N$5^Konstanten!$C$18*N47^Konstanten!$D$18*M$5^Konstanten!$E$18+N$4^Konstanten!$F$18)&lt;1,N47,N47*Konstanten!$A$18*(N$6^Konstanten!$B$18*N$5^Konstanten!$C$18*N47^Konstanten!$D$18*M$5^Konstanten!$E$18+N$4^Konstanten!$F$18)))</f>
        <v>120.34953021893719</v>
      </c>
      <c r="N47" s="24">
        <f>N$5^Konstanten!$E$7*$A47*$D47^Konstanten!$F$7*N$4^Konstanten!$G$7*M$5^Konstanten!$H$7*(Konstanten!$C$7-N$4^Konstanten!$I$7*Konstanten!$D$7)</f>
        <v>89.813116575579599</v>
      </c>
      <c r="O47" s="29">
        <f>Konstanten!$C$26*(((($M$3+$N$3)*Konstanten!$I$26+$O$3)/(Konstanten!$I$26+2))^Konstanten!$D$26*$D47^Konstanten!$E$26*ABS($N$4)^Konstanten!$F$26+Konstanten!$H$26*($D47*$A47)^Konstanten!$G$26)</f>
        <v>12.620311145548119</v>
      </c>
      <c r="P47" s="38">
        <f>3.6*M47/(N$4*Konstanten!$K$3)</f>
        <v>14.781608567135736</v>
      </c>
      <c r="Q47" s="44">
        <f t="shared" si="35"/>
        <v>0.10786456415655696</v>
      </c>
      <c r="R47" s="69">
        <f t="shared" si="31"/>
        <v>4.8706729781164082E-2</v>
      </c>
      <c r="S47" s="24">
        <f>IF(S$7="trocken",T47,IF(Konstanten!$A$18*(V$3^Konstanten!$B$18*T$5^Konstanten!$C$18*T47^Konstanten!$D$18*S$5^Konstanten!$E$18+T$4^Konstanten!$F$18)&lt;1,T47,T47*Konstanten!$A$18*(T$6^Konstanten!$B$18*T$5^Konstanten!$C$18*T47^Konstanten!$D$18*S$5^Konstanten!$E$18+T$4^Konstanten!$F$18)))</f>
        <v>66.978589091369045</v>
      </c>
      <c r="T47" s="24">
        <f>T$5^Konstanten!$E$7*$A47*$D47^Konstanten!$F$7*T$4^Konstanten!$G$7*S$5^Konstanten!$H$7*(Konstanten!$C$7-T$4^Konstanten!$I$7*Konstanten!$D$7)</f>
        <v>66.978589091369045</v>
      </c>
      <c r="U47" s="29">
        <f>Konstanten!$C$26*(((($S$3+$T$3)*Konstanten!$I$26+$U$3)/(Konstanten!$I$26+2))^Konstanten!$D$26*$D47^Konstanten!$E$26*ABS($T$4)^Konstanten!$F$26+Konstanten!$H$26*($D47*$A47)^Konstanten!$G$26)</f>
        <v>16.374985052465277</v>
      </c>
      <c r="V47" s="38">
        <f>3.6*S47/(T$4*Konstanten!$K$3)</f>
        <v>28.792630065468302</v>
      </c>
      <c r="W47" s="44">
        <f t="shared" si="36"/>
        <v>0.34377811572803785</v>
      </c>
      <c r="X47" s="69">
        <f t="shared" si="32"/>
        <v>0</v>
      </c>
      <c r="Z47" s="47">
        <v>35</v>
      </c>
      <c r="AA47" s="99">
        <f t="shared" si="37"/>
        <v>11</v>
      </c>
      <c r="AB47" s="99">
        <v>19</v>
      </c>
      <c r="AC47" s="75" t="str">
        <f t="shared" si="38"/>
        <v>&lt; 28 dB(A)</v>
      </c>
    </row>
    <row r="48" spans="1:29" x14ac:dyDescent="0.3">
      <c r="A48" s="32">
        <v>710</v>
      </c>
      <c r="B48" s="49">
        <v>1200</v>
      </c>
      <c r="C48" s="64">
        <v>100</v>
      </c>
      <c r="D48" s="53">
        <f>D43</f>
        <v>1350</v>
      </c>
      <c r="E48" s="33">
        <f>F$5^Konstanten!$E$5*$A48*$D48^Konstanten!$F$5*F$4^Konstanten!$G$5*E$5^Konstanten!$H$5*(Konstanten!$C$5-F$4^Konstanten!$I$5*Konstanten!$D$5)</f>
        <v>1936.9258500073258</v>
      </c>
      <c r="F48" s="34">
        <f>Konstanten!$C$24*(((($E$3+$F$3)*Konstanten!$I$24+$G$3)/(Konstanten!$I$24+2))^Konstanten!$D$24*$D48^Konstanten!$E$24*ABS($F$4)^Konstanten!$F$24+Konstanten!$H$24*($D48*$A48)^Konstanten!$G$24)</f>
        <v>32.630739779401928</v>
      </c>
      <c r="G48" s="36">
        <f>3.6*E48/(F$4*Konstanten!$K$3)</f>
        <v>166.5284092127589</v>
      </c>
      <c r="H48" s="42">
        <f xml:space="preserve"> 0.00039605*G48^1.7088</f>
        <v>2.4764483910411057</v>
      </c>
      <c r="I48" s="33">
        <f>J$5^Konstanten!$E$5*$A48*$D48^Konstanten!$F$5*J$4^Konstanten!$G$5*I$5^Konstanten!$H$5*(Konstanten!$C$5-J$4^Konstanten!$I$5*Konstanten!$D$5)</f>
        <v>1576.6328978457304</v>
      </c>
      <c r="J48" s="34">
        <f>Konstanten!$C$24*(((($I$3+$J$3)*Konstanten!$I$24+$K$3)/(Konstanten!$I$24+2))^Konstanten!$D$24*$D48^Konstanten!$E$24*ABS($J$4)^Konstanten!$F$24+Konstanten!$H$24*($D48*$A48)^Konstanten!$G$24)</f>
        <v>30.904025465863899</v>
      </c>
      <c r="K48" s="36">
        <f>3.6*I48/(J$4*Konstanten!$K$3)</f>
        <v>90.367998475439393</v>
      </c>
      <c r="L48" s="42">
        <f xml:space="preserve"> 0.00039605*K48^1.7088</f>
        <v>0.87134044751434692</v>
      </c>
      <c r="M48" s="33">
        <f>IF(M$7="trocken",N48,IF(Konstanten!$A$18*(N$6^Konstanten!$B$18*N$5^Konstanten!$C$18*N48^Konstanten!$D$18*M$5^Konstanten!$E$18+N$4^Konstanten!$F$18)&lt;1,N48,N48*Konstanten!$A$18*(N$6^Konstanten!$B$18*N$5^Konstanten!$C$18*N48^Konstanten!$D$18*M$5^Konstanten!$E$18+N$4^Konstanten!$F$18)))</f>
        <v>1633.529309134226</v>
      </c>
      <c r="N48" s="33">
        <f>N$5^Konstanten!$E$7*$A48*$D48^Konstanten!$F$7*N$4^Konstanten!$G$7*M$5^Konstanten!$H$7*(Konstanten!$C$7-N$4^Konstanten!$I$7*Konstanten!$D$7)</f>
        <v>1321.3599971742547</v>
      </c>
      <c r="O48" s="34">
        <f>Konstanten!$C$26*(((($M$3+$N$3)*Konstanten!$I$26+$O$3)/(Konstanten!$I$26+2))^Konstanten!$D$26*$D48^Konstanten!$E$26*ABS($N$4)^Konstanten!$F$26+Konstanten!$H$26*($D48*$A48)^Konstanten!$G$26)</f>
        <v>15.856739286339138</v>
      </c>
      <c r="P48" s="36">
        <f>3.6*M48/(N$4*Konstanten!$K$3)</f>
        <v>200.63386027880276</v>
      </c>
      <c r="Q48" s="42">
        <f>0.00099843*P48^1.7385</f>
        <v>10.047253833234628</v>
      </c>
      <c r="R48" s="67">
        <f t="shared" si="31"/>
        <v>0.49792180906331268</v>
      </c>
      <c r="S48" s="33">
        <f>IF(S$7="trocken",T48,IF(Konstanten!$A$18*(V$3^Konstanten!$B$18*T$5^Konstanten!$C$18*T48^Konstanten!$D$18*S$5^Konstanten!$E$18+T$4^Konstanten!$F$18)&lt;1,T48,T48*Konstanten!$A$18*(T$6^Konstanten!$B$18*T$5^Konstanten!$C$18*T48^Konstanten!$D$18*S$5^Konstanten!$E$18+T$4^Konstanten!$F$18)))</f>
        <v>985.4109473868441</v>
      </c>
      <c r="T48" s="33">
        <f>T$5^Konstanten!$E$7*$A48*$D48^Konstanten!$F$7*T$4^Konstanten!$G$7*S$5^Konstanten!$H$7*(Konstanten!$C$7-T$4^Konstanten!$I$7*Konstanten!$D$7)</f>
        <v>985.4109473868441</v>
      </c>
      <c r="U48" s="34">
        <f>Konstanten!$C$26*(((($S$3+$T$3)*Konstanten!$I$26+$U$3)/(Konstanten!$I$26+2))^Konstanten!$D$26*$D48^Konstanten!$E$26*ABS($T$4)^Konstanten!$F$26+Konstanten!$H$26*($D48*$A48)^Konstanten!$G$26)</f>
        <v>20.721234525364324</v>
      </c>
      <c r="V48" s="36">
        <f>3.6*S48/(T$4*Konstanten!$K$3)</f>
        <v>423.60660705867542</v>
      </c>
      <c r="W48" s="42">
        <f>0.0010784*V48^1.7916</f>
        <v>54.858799277075775</v>
      </c>
      <c r="X48" s="67">
        <f t="shared" si="32"/>
        <v>0</v>
      </c>
      <c r="Z48" s="45">
        <v>415</v>
      </c>
      <c r="AA48" s="100">
        <f t="shared" si="37"/>
        <v>45.8</v>
      </c>
      <c r="AB48" s="100">
        <v>53.8</v>
      </c>
      <c r="AC48" s="75">
        <f t="shared" si="38"/>
        <v>53.8</v>
      </c>
    </row>
    <row r="49" spans="1:29" x14ac:dyDescent="0.3">
      <c r="A49">
        <v>710</v>
      </c>
      <c r="B49" s="50">
        <v>1200</v>
      </c>
      <c r="C49" s="65">
        <v>80</v>
      </c>
      <c r="D49" s="27">
        <f t="shared" ref="D49:D72" si="39">D44</f>
        <v>1090</v>
      </c>
      <c r="E49" s="23">
        <f>F$5^Konstanten!$E$5*$A49*$D49^Konstanten!$F$5*F$4^Konstanten!$G$5*E$5^Konstanten!$H$5*(Konstanten!$C$5-F$4^Konstanten!$I$5*Konstanten!$D$5)</f>
        <v>1642.5955335730243</v>
      </c>
      <c r="F49" s="28">
        <f>Konstanten!$C$24*(((($E$3+$F$3)*Konstanten!$I$24+$G$3)/(Konstanten!$I$24+2))^Konstanten!$D$24*$D49^Konstanten!$E$24*ABS($F$4)^Konstanten!$F$24+Konstanten!$H$24*($D49*$A49)^Konstanten!$G$24)</f>
        <v>34.01681144863764</v>
      </c>
      <c r="G49" s="37">
        <f>3.6*E49/(F$4*Konstanten!$K$3)</f>
        <v>141.22317650149802</v>
      </c>
      <c r="H49" s="43">
        <f t="shared" ref="H49:H52" si="40" xml:space="preserve"> 0.00039605*G49^1.7088</f>
        <v>1.8685699012839609</v>
      </c>
      <c r="I49" s="23">
        <f>J$5^Konstanten!$E$5*$A49*$D49^Konstanten!$F$5*J$4^Konstanten!$G$5*I$5^Konstanten!$H$5*(Konstanten!$C$5-J$4^Konstanten!$I$5*Konstanten!$D$5)</f>
        <v>1337.0517803125485</v>
      </c>
      <c r="J49" s="28">
        <f>Konstanten!$C$24*(((($I$3+$J$3)*Konstanten!$I$24+$K$3)/(Konstanten!$I$24+2))^Konstanten!$D$24*$D49^Konstanten!$E$24*ABS($J$4)^Konstanten!$F$24+Konstanten!$H$24*($D49*$A49)^Konstanten!$G$24)</f>
        <v>32.139476563727065</v>
      </c>
      <c r="K49" s="37">
        <f>3.6*I49/(J$4*Konstanten!$K$3)</f>
        <v>76.635907705568187</v>
      </c>
      <c r="L49" s="43">
        <f t="shared" ref="L49:L52" si="41" xml:space="preserve"> 0.00039605*K49^1.7088</f>
        <v>0.65745789005202093</v>
      </c>
      <c r="M49" s="23">
        <f>IF(M$7="trocken",N49,IF(Konstanten!$A$18*(N$6^Konstanten!$B$18*N$5^Konstanten!$C$18*N49^Konstanten!$D$18*M$5^Konstanten!$E$18+N$4^Konstanten!$F$18)&lt;1,N49,N49*Konstanten!$A$18*(N$6^Konstanten!$B$18*N$5^Konstanten!$C$18*N49^Konstanten!$D$18*M$5^Konstanten!$E$18+N$4^Konstanten!$F$18)))</f>
        <v>1211.9282802112505</v>
      </c>
      <c r="N49" s="23">
        <f>N$5^Konstanten!$E$7*$A49*$D49^Konstanten!$F$7*N$4^Konstanten!$G$7*M$5^Konstanten!$H$7*(Konstanten!$C$7-N$4^Konstanten!$I$7*Konstanten!$D$7)</f>
        <v>971.33788959124843</v>
      </c>
      <c r="O49" s="28">
        <f>Konstanten!$C$26*(((($M$3+$N$3)*Konstanten!$I$26+$O$3)/(Konstanten!$I$26+2))^Konstanten!$D$26*$D49^Konstanten!$E$26*ABS($N$4)^Konstanten!$F$26+Konstanten!$H$26*($D49*$A49)^Konstanten!$G$26)</f>
        <v>15.314701735496385</v>
      </c>
      <c r="P49" s="37">
        <f>3.6*M49/(N$4*Konstanten!$K$3)</f>
        <v>148.85184360034887</v>
      </c>
      <c r="Q49" s="43">
        <f t="shared" ref="Q49:Q52" si="42">0.00099843*P49^1.7385</f>
        <v>5.9793066899467444</v>
      </c>
      <c r="R49" s="68">
        <f t="shared" si="31"/>
        <v>0.38375073382011843</v>
      </c>
      <c r="S49" s="23">
        <f>IF(S$7="trocken",T49,IF(Konstanten!$A$18*(V$3^Konstanten!$B$18*T$5^Konstanten!$C$18*T49^Konstanten!$D$18*S$5^Konstanten!$E$18+T$4^Konstanten!$F$18)&lt;1,T49,T49*Konstanten!$A$18*(T$6^Konstanten!$B$18*T$5^Konstanten!$C$18*T49^Konstanten!$D$18*S$5^Konstanten!$E$18+T$4^Konstanten!$F$18)))</f>
        <v>724.38017804516846</v>
      </c>
      <c r="T49" s="23">
        <f>T$5^Konstanten!$E$7*$A49*$D49^Konstanten!$F$7*T$4^Konstanten!$G$7*S$5^Konstanten!$H$7*(Konstanten!$C$7-T$4^Konstanten!$I$7*Konstanten!$D$7)</f>
        <v>724.38017804516846</v>
      </c>
      <c r="U49" s="28">
        <f>Konstanten!$C$26*(((($S$3+$T$3)*Konstanten!$I$26+$U$3)/(Konstanten!$I$26+2))^Konstanten!$D$26*$D49^Konstanten!$E$26*ABS($T$4)^Konstanten!$F$26+Konstanten!$H$26*($D49*$A49)^Konstanten!$G$26)</f>
        <v>20.003285282197854</v>
      </c>
      <c r="V49" s="37">
        <f>3.6*S49/(T$4*Konstanten!$K$3)</f>
        <v>311.39519025640743</v>
      </c>
      <c r="W49" s="43">
        <f t="shared" ref="W49:W52" si="43">0.0010784*V49^1.7916</f>
        <v>31.608033699467057</v>
      </c>
      <c r="X49" s="68">
        <f t="shared" si="32"/>
        <v>0</v>
      </c>
      <c r="Z49" s="46">
        <v>325</v>
      </c>
      <c r="AA49" s="98">
        <f t="shared" si="37"/>
        <v>38.700000000000003</v>
      </c>
      <c r="AB49" s="98">
        <v>46.7</v>
      </c>
      <c r="AC49" s="75">
        <f t="shared" si="38"/>
        <v>46.7</v>
      </c>
    </row>
    <row r="50" spans="1:29" x14ac:dyDescent="0.3">
      <c r="A50">
        <v>710</v>
      </c>
      <c r="B50" s="50">
        <v>1200</v>
      </c>
      <c r="C50" s="65">
        <v>60</v>
      </c>
      <c r="D50" s="27">
        <f t="shared" si="39"/>
        <v>830</v>
      </c>
      <c r="E50" s="23">
        <f>F$5^Konstanten!$E$5*$A50*$D50^Konstanten!$F$5*F$4^Konstanten!$G$5*E$5^Konstanten!$H$5*(Konstanten!$C$5-F$4^Konstanten!$I$5*Konstanten!$D$5)</f>
        <v>1331.5167166730826</v>
      </c>
      <c r="F50" s="28">
        <f>Konstanten!$C$24*(((($E$3+$F$3)*Konstanten!$I$24+$G$3)/(Konstanten!$I$24+2))^Konstanten!$D$24*$D50^Konstanten!$E$24*ABS($F$4)^Konstanten!$F$24+Konstanten!$H$24*($D50*$A50)^Konstanten!$G$24)</f>
        <v>36.033384021656445</v>
      </c>
      <c r="G50" s="37">
        <f>3.6*E50/(F$4*Konstanten!$K$3)</f>
        <v>114.47798100630729</v>
      </c>
      <c r="H50" s="43">
        <f t="shared" si="40"/>
        <v>1.3052512122158082</v>
      </c>
      <c r="I50" s="23">
        <f>J$5^Konstanten!$E$5*$A50*$D50^Konstanten!$F$5*J$4^Konstanten!$G$5*I$5^Konstanten!$H$5*(Konstanten!$C$5-J$4^Konstanten!$I$5*Konstanten!$D$5)</f>
        <v>1083.8375973609805</v>
      </c>
      <c r="J50" s="28">
        <f>Konstanten!$C$24*(((($I$3+$J$3)*Konstanten!$I$24+$K$3)/(Konstanten!$I$24+2))^Konstanten!$D$24*$D50^Konstanten!$E$24*ABS($J$4)^Konstanten!$F$24+Konstanten!$H$24*($D50*$A50)^Konstanten!$G$24)</f>
        <v>33.945006575239027</v>
      </c>
      <c r="K50" s="37">
        <f>3.6*I50/(J$4*Konstanten!$K$3)</f>
        <v>62.122409395217737</v>
      </c>
      <c r="L50" s="43">
        <f t="shared" si="41"/>
        <v>0.45925373590871993</v>
      </c>
      <c r="M50" s="23">
        <f>IF(M$7="trocken",N50,IF(Konstanten!$A$18*(N$6^Konstanten!$B$18*N$5^Konstanten!$C$18*N50^Konstanten!$D$18*M$5^Konstanten!$E$18+N$4^Konstanten!$F$18)&lt;1,N50,N50*Konstanten!$A$18*(N$6^Konstanten!$B$18*N$5^Konstanten!$C$18*N50^Konstanten!$D$18*M$5^Konstanten!$E$18+N$4^Konstanten!$F$18)))</f>
        <v>828.56449607806962</v>
      </c>
      <c r="N50" s="23">
        <f>N$5^Konstanten!$E$7*$A50*$D50^Konstanten!$F$7*N$4^Konstanten!$G$7*M$5^Konstanten!$H$7*(Konstanten!$C$7-N$4^Konstanten!$I$7*Konstanten!$D$7)</f>
        <v>656.32872869085099</v>
      </c>
      <c r="O50" s="28">
        <f>Konstanten!$C$26*(((($M$3+$N$3)*Konstanten!$I$26+$O$3)/(Konstanten!$I$26+2))^Konstanten!$D$26*$D50^Konstanten!$E$26*ABS($N$4)^Konstanten!$F$26+Konstanten!$H$26*($D50*$A50)^Konstanten!$G$26)</f>
        <v>14.656871167419848</v>
      </c>
      <c r="P50" s="37">
        <f>3.6*M50/(N$4*Konstanten!$K$3)</f>
        <v>101.76621405477603</v>
      </c>
      <c r="Q50" s="43">
        <f t="shared" si="42"/>
        <v>3.0869991635189993</v>
      </c>
      <c r="R50" s="68">
        <f t="shared" si="31"/>
        <v>0.27472253548692388</v>
      </c>
      <c r="S50" s="23">
        <f>IF(S$7="trocken",T50,IF(Konstanten!$A$18*(V$3^Konstanten!$B$18*T$5^Konstanten!$C$18*T50^Konstanten!$D$18*S$5^Konstanten!$E$18+T$4^Konstanten!$F$18)&lt;1,T50,T50*Konstanten!$A$18*(T$6^Konstanten!$B$18*T$5^Konstanten!$C$18*T50^Konstanten!$D$18*S$5^Konstanten!$E$18+T$4^Konstanten!$F$18)))</f>
        <v>489.46049200788963</v>
      </c>
      <c r="T50" s="23">
        <f>T$5^Konstanten!$E$7*$A50*$D50^Konstanten!$F$7*T$4^Konstanten!$G$7*S$5^Konstanten!$H$7*(Konstanten!$C$7-T$4^Konstanten!$I$7*Konstanten!$D$7)</f>
        <v>489.46049200788963</v>
      </c>
      <c r="U50" s="28">
        <f>Konstanten!$C$26*(((($S$3+$T$3)*Konstanten!$I$26+$U$3)/(Konstanten!$I$26+2))^Konstanten!$D$26*$D50^Konstanten!$E$26*ABS($T$4)^Konstanten!$F$26+Konstanten!$H$26*($D50*$A50)^Konstanten!$G$26)</f>
        <v>19.130554702101588</v>
      </c>
      <c r="V50" s="37">
        <f>3.6*S50/(T$4*Konstanten!$K$3)</f>
        <v>210.40835689776117</v>
      </c>
      <c r="W50" s="43">
        <f t="shared" si="43"/>
        <v>15.659558839978382</v>
      </c>
      <c r="X50" s="68">
        <f t="shared" si="32"/>
        <v>0</v>
      </c>
      <c r="Z50" s="46">
        <v>240</v>
      </c>
      <c r="AA50" s="98">
        <f t="shared" si="37"/>
        <v>30</v>
      </c>
      <c r="AB50" s="98">
        <v>38</v>
      </c>
      <c r="AC50" s="75">
        <f t="shared" si="38"/>
        <v>38</v>
      </c>
    </row>
    <row r="51" spans="1:29" x14ac:dyDescent="0.3">
      <c r="A51">
        <v>710</v>
      </c>
      <c r="B51" s="50">
        <v>1200</v>
      </c>
      <c r="C51" s="65">
        <v>40</v>
      </c>
      <c r="D51" s="27">
        <f t="shared" si="39"/>
        <v>565</v>
      </c>
      <c r="E51" s="23">
        <f>F$5^Konstanten!$E$5*$A51*$D51^Konstanten!$F$5*F$4^Konstanten!$G$5*E$5^Konstanten!$H$5*(Konstanten!$C$5-F$4^Konstanten!$I$5*Konstanten!$D$5)</f>
        <v>990.04543570899273</v>
      </c>
      <c r="F51" s="28">
        <f>Konstanten!$C$24*(((($E$3+$F$3)*Konstanten!$I$24+$G$3)/(Konstanten!$I$24+2))^Konstanten!$D$24*$D51^Konstanten!$E$24*ABS($F$4)^Konstanten!$F$24+Konstanten!$H$24*($D51*$A51)^Konstanten!$G$24)</f>
        <v>39.408951330935437</v>
      </c>
      <c r="G51" s="37">
        <f>3.6*E51/(F$4*Konstanten!$K$3)</f>
        <v>85.119774438627971</v>
      </c>
      <c r="H51" s="43">
        <f t="shared" si="40"/>
        <v>0.78665820117002527</v>
      </c>
      <c r="I51" s="23">
        <f>J$5^Konstanten!$E$5*$A51*$D51^Konstanten!$F$5*J$4^Konstanten!$G$5*I$5^Konstanten!$H$5*(Konstanten!$C$5-J$4^Konstanten!$I$5*Konstanten!$D$5)</f>
        <v>805.8843369222958</v>
      </c>
      <c r="J51" s="28">
        <f>Konstanten!$C$24*(((($I$3+$J$3)*Konstanten!$I$24+$K$3)/(Konstanten!$I$24+2))^Konstanten!$D$24*$D51^Konstanten!$E$24*ABS($J$4)^Konstanten!$F$24+Konstanten!$H$24*($D51*$A51)^Konstanten!$G$24)</f>
        <v>36.981739218786132</v>
      </c>
      <c r="K51" s="37">
        <f>3.6*I51/(J$4*Konstanten!$K$3)</f>
        <v>46.190939330190453</v>
      </c>
      <c r="L51" s="43">
        <f t="shared" si="41"/>
        <v>0.27678634916359252</v>
      </c>
      <c r="M51" s="23">
        <f>IF(M$7="trocken",N51,IF(Konstanten!$A$18*(N$6^Konstanten!$B$18*N$5^Konstanten!$C$18*N51^Konstanten!$D$18*M$5^Konstanten!$E$18+N$4^Konstanten!$F$18)&lt;1,N51,N51*Konstanten!$A$18*(N$6^Konstanten!$B$18*N$5^Konstanten!$C$18*N51^Konstanten!$D$18*M$5^Konstanten!$E$18+N$4^Konstanten!$F$18)))</f>
        <v>484.44737356805268</v>
      </c>
      <c r="N51" s="23">
        <f>N$5^Konstanten!$E$7*$A51*$D51^Konstanten!$F$7*N$4^Konstanten!$G$7*M$5^Konstanten!$H$7*(Konstanten!$C$7-N$4^Konstanten!$I$7*Konstanten!$D$7)</f>
        <v>377.4353644039486</v>
      </c>
      <c r="O51" s="28">
        <f>Konstanten!$C$26*(((($M$3+$N$3)*Konstanten!$I$26+$O$3)/(Konstanten!$I$26+2))^Konstanten!$D$26*$D51^Konstanten!$E$26*ABS($N$4)^Konstanten!$F$26+Konstanten!$H$26*($D51*$A51)^Konstanten!$G$26)</f>
        <v>13.788729365206185</v>
      </c>
      <c r="P51" s="37">
        <f>3.6*M51/(N$4*Konstanten!$K$3)</f>
        <v>59.500950559864776</v>
      </c>
      <c r="Q51" s="43">
        <f t="shared" si="42"/>
        <v>1.2143040087378616</v>
      </c>
      <c r="R51" s="68">
        <f t="shared" si="31"/>
        <v>0.17068818475444161</v>
      </c>
      <c r="S51" s="23">
        <f>IF(S$7="trocken",T51,IF(Konstanten!$A$18*(V$3^Konstanten!$B$18*T$5^Konstanten!$C$18*T51^Konstanten!$D$18*S$5^Konstanten!$E$18+T$4^Konstanten!$F$18)&lt;1,T51,T51*Konstanten!$A$18*(T$6^Konstanten!$B$18*T$5^Konstanten!$C$18*T51^Konstanten!$D$18*S$5^Konstanten!$E$18+T$4^Konstanten!$F$18)))</f>
        <v>281.4743452276204</v>
      </c>
      <c r="T51" s="23">
        <f>T$5^Konstanten!$E$7*$A51*$D51^Konstanten!$F$7*T$4^Konstanten!$G$7*S$5^Konstanten!$H$7*(Konstanten!$C$7-T$4^Konstanten!$I$7*Konstanten!$D$7)</f>
        <v>281.4743452276204</v>
      </c>
      <c r="U51" s="28">
        <f>Konstanten!$C$26*(((($S$3+$T$3)*Konstanten!$I$26+$U$3)/(Konstanten!$I$26+2))^Konstanten!$D$26*$D51^Konstanten!$E$26*ABS($T$4)^Konstanten!$F$26+Konstanten!$H$26*($D51*$A51)^Konstanten!$G$26)</f>
        <v>17.975770852896478</v>
      </c>
      <c r="V51" s="37">
        <f>3.6*S51/(T$4*Konstanten!$K$3)</f>
        <v>120.9996628027378</v>
      </c>
      <c r="W51" s="43">
        <f t="shared" si="43"/>
        <v>5.8116035492265832</v>
      </c>
      <c r="X51" s="68">
        <f t="shared" si="32"/>
        <v>0</v>
      </c>
      <c r="Z51" s="46">
        <v>150</v>
      </c>
      <c r="AA51" s="98">
        <f t="shared" si="37"/>
        <v>17.7</v>
      </c>
      <c r="AB51" s="98">
        <v>25.7</v>
      </c>
      <c r="AC51" s="75" t="str">
        <f t="shared" si="38"/>
        <v>&lt; 28 dB(A)</v>
      </c>
    </row>
    <row r="52" spans="1:29" x14ac:dyDescent="0.3">
      <c r="A52" s="22">
        <v>710</v>
      </c>
      <c r="B52" s="51">
        <v>1200</v>
      </c>
      <c r="C52" s="66">
        <v>20</v>
      </c>
      <c r="D52" s="78">
        <f t="shared" si="39"/>
        <v>300</v>
      </c>
      <c r="E52" s="24">
        <f>F$5^Konstanten!$E$5*$A52*$D52^Konstanten!$F$5*F$4^Konstanten!$G$5*E$5^Konstanten!$H$5*(Konstanten!$C$5-F$4^Konstanten!$I$5*Konstanten!$D$5)</f>
        <v>607.89937453510447</v>
      </c>
      <c r="F52" s="29">
        <f>Konstanten!$C$24*(((($E$3+$F$3)*Konstanten!$I$24+$G$3)/(Konstanten!$I$24+2))^Konstanten!$D$24*$D52^Konstanten!$E$24*ABS($F$4)^Konstanten!$F$24+Konstanten!$H$24*($D52*$A52)^Konstanten!$G$24)</f>
        <v>46.540157886232812</v>
      </c>
      <c r="G52" s="38">
        <f>3.6*E52/(F$4*Konstanten!$K$3)</f>
        <v>52.264528248398967</v>
      </c>
      <c r="H52" s="44">
        <f t="shared" si="40"/>
        <v>0.34183946375890656</v>
      </c>
      <c r="I52" s="24">
        <f>J$5^Konstanten!$E$5*$A52*$D52^Konstanten!$F$5*J$4^Konstanten!$G$5*I$5^Konstanten!$H$5*(Konstanten!$C$5-J$4^Konstanten!$I$5*Konstanten!$D$5)</f>
        <v>494.82232500963505</v>
      </c>
      <c r="J52" s="29">
        <f>Konstanten!$C$24*(((($I$3+$J$3)*Konstanten!$I$24+$K$3)/(Konstanten!$I$24+2))^Konstanten!$D$24*$D52^Konstanten!$E$24*ABS($J$4)^Konstanten!$F$24+Konstanten!$H$24*($D52*$A52)^Konstanten!$G$24)</f>
        <v>43.431391822119465</v>
      </c>
      <c r="K52" s="38">
        <f>3.6*I52/(J$4*Konstanten!$K$3)</f>
        <v>28.361772212912069</v>
      </c>
      <c r="L52" s="44">
        <f t="shared" si="41"/>
        <v>0.12027650259431784</v>
      </c>
      <c r="M52" s="24">
        <f>IF(M$7="trocken",N52,IF(Konstanten!$A$18*(N$6^Konstanten!$B$18*N$5^Konstanten!$C$18*N52^Konstanten!$D$18*M$5^Konstanten!$E$18+N$4^Konstanten!$F$18)&lt;1,N52,N52*Konstanten!$A$18*(N$6^Konstanten!$B$18*N$5^Konstanten!$C$18*N52^Konstanten!$D$18*M$5^Konstanten!$E$18+N$4^Konstanten!$F$18)))</f>
        <v>200.26801508686154</v>
      </c>
      <c r="N52" s="24">
        <f>N$5^Konstanten!$E$7*$A52*$D52^Konstanten!$F$7*N$4^Konstanten!$G$7*M$5^Konstanten!$H$7*(Konstanten!$C$7-N$4^Konstanten!$I$7*Konstanten!$D$7)</f>
        <v>151.82693516347985</v>
      </c>
      <c r="O52" s="29">
        <f>Konstanten!$C$26*(((($M$3+$N$3)*Konstanten!$I$26+$O$3)/(Konstanten!$I$26+2))^Konstanten!$D$26*$D52^Konstanten!$E$26*ABS($N$4)^Konstanten!$F$26+Konstanten!$H$26*($D52*$A52)^Konstanten!$G$26)</f>
        <v>12.507290083533201</v>
      </c>
      <c r="P52" s="38">
        <f>3.6*M52/(N$4*Konstanten!$K$3)</f>
        <v>24.597382325846553</v>
      </c>
      <c r="Q52" s="44">
        <f t="shared" si="42"/>
        <v>0.26144356680950304</v>
      </c>
      <c r="R52" s="69">
        <f t="shared" si="31"/>
        <v>7.7265346798482099E-2</v>
      </c>
      <c r="S52" s="24">
        <f>IF(S$7="trocken",T52,IF(Konstanten!$A$18*(V$3^Konstanten!$B$18*T$5^Konstanten!$C$18*T52^Konstanten!$D$18*S$5^Konstanten!$E$18+T$4^Konstanten!$F$18)&lt;1,T52,T52*Konstanten!$A$18*(T$6^Konstanten!$B$18*T$5^Konstanten!$C$18*T52^Konstanten!$D$18*S$5^Konstanten!$E$18+T$4^Konstanten!$F$18)))</f>
        <v>113.22571013064767</v>
      </c>
      <c r="T52" s="24">
        <f>T$5^Konstanten!$E$7*$A52*$D52^Konstanten!$F$7*T$4^Konstanten!$G$7*S$5^Konstanten!$H$7*(Konstanten!$C$7-T$4^Konstanten!$I$7*Konstanten!$D$7)</f>
        <v>113.22571013064767</v>
      </c>
      <c r="U52" s="29">
        <f>Konstanten!$C$26*(((($S$3+$T$3)*Konstanten!$I$26+$U$3)/(Konstanten!$I$26+2))^Konstanten!$D$26*$D52^Konstanten!$E$26*ABS($T$4)^Konstanten!$F$26+Konstanten!$H$26*($D52*$A52)^Konstanten!$G$26)</f>
        <v>16.261963990450358</v>
      </c>
      <c r="V52" s="38">
        <f>3.6*S52/(T$4*Konstanten!$K$3)</f>
        <v>48.673255586863078</v>
      </c>
      <c r="W52" s="44">
        <f t="shared" si="43"/>
        <v>1.1369185489243463</v>
      </c>
      <c r="X52" s="69">
        <f t="shared" si="32"/>
        <v>0</v>
      </c>
      <c r="Z52" s="47">
        <v>55</v>
      </c>
      <c r="AA52" s="99">
        <f t="shared" si="37"/>
        <v>13.600000000000001</v>
      </c>
      <c r="AB52" s="99">
        <v>21.6</v>
      </c>
      <c r="AC52" s="75" t="str">
        <f t="shared" si="38"/>
        <v>&lt; 28 dB(A)</v>
      </c>
    </row>
    <row r="53" spans="1:29" x14ac:dyDescent="0.3">
      <c r="A53" s="32">
        <v>1130</v>
      </c>
      <c r="B53" s="49">
        <v>1700</v>
      </c>
      <c r="C53" s="64">
        <v>100</v>
      </c>
      <c r="D53" s="53">
        <f t="shared" si="39"/>
        <v>1350</v>
      </c>
      <c r="E53" s="33">
        <f>F$5^Konstanten!$E$5*$A53*$D53^Konstanten!$F$5*F$4^Konstanten!$G$5*E$5^Konstanten!$H$5*(Konstanten!$C$5-F$4^Konstanten!$I$5*Konstanten!$D$5)</f>
        <v>3082.7129725468703</v>
      </c>
      <c r="F53" s="34">
        <f>Konstanten!$C$24*(((($E$3+$F$3)*Konstanten!$I$24+$G$3)/(Konstanten!$I$24+2))^Konstanten!$D$24*$D53^Konstanten!$E$24*ABS($F$4)^Konstanten!$F$24+Konstanten!$H$24*($D53*$A53)^Konstanten!$G$24)</f>
        <v>33.593144484930626</v>
      </c>
      <c r="G53" s="36">
        <f>3.6*E53/(F$4*Konstanten!$K$3)</f>
        <v>265.03817240903879</v>
      </c>
      <c r="H53" s="42">
        <f xml:space="preserve"> 0.00054927*G53^1.7275</f>
        <v>8.4343416511169291</v>
      </c>
      <c r="I53" s="33">
        <f>J$5^Konstanten!$E$5*$A53*$D53^Konstanten!$F$5*J$4^Konstanten!$G$5*I$5^Konstanten!$H$5*(Konstanten!$C$5-J$4^Konstanten!$I$5*Konstanten!$D$5)</f>
        <v>2509.2889782615143</v>
      </c>
      <c r="J53" s="34">
        <f>Konstanten!$C$24*(((($I$3+$J$3)*Konstanten!$I$24+$K$3)/(Konstanten!$I$24+2))^Konstanten!$D$24*$D53^Konstanten!$E$24*ABS($J$4)^Konstanten!$F$24+Konstanten!$H$24*($D53*$A53)^Konstanten!$G$24)</f>
        <v>31.866430171392597</v>
      </c>
      <c r="K53" s="36">
        <f>3.6*I53/(J$4*Konstanten!$K$3)</f>
        <v>143.82512433414999</v>
      </c>
      <c r="L53" s="42">
        <f xml:space="preserve"> 0.00054927*K53^1.7275</f>
        <v>2.9339007900793139</v>
      </c>
      <c r="M53" s="33">
        <f>IF(M$7="trocken",N53,IF(Konstanten!$A$18*(N$6^Konstanten!$B$18*N$5^Konstanten!$C$18*N53^Konstanten!$D$18*M$5^Konstanten!$E$18+N$4^Konstanten!$F$18)&lt;1,N53,N53*Konstanten!$A$18*(N$6^Konstanten!$B$18*N$5^Konstanten!$C$18*N53^Konstanten!$D$18*M$5^Konstanten!$E$18+N$4^Konstanten!$F$18)))</f>
        <v>2563.9417261304916</v>
      </c>
      <c r="N53" s="33">
        <f>N$5^Konstanten!$E$7*$A53*$D53^Konstanten!$F$7*N$4^Konstanten!$G$7*M$5^Konstanten!$H$7*(Konstanten!$C$7-N$4^Konstanten!$I$7*Konstanten!$D$7)</f>
        <v>2103.0095729674758</v>
      </c>
      <c r="O53" s="34">
        <f>Konstanten!$C$26*(((($M$3+$N$3)*Konstanten!$I$26+$O$3)/(Konstanten!$I$26+2))^Konstanten!$D$26*$D53^Konstanten!$E$26*ABS($N$4)^Konstanten!$F$26+Konstanten!$H$26*($D53*$A53)^Konstanten!$G$26)</f>
        <v>15.813929561681887</v>
      </c>
      <c r="P53" s="36">
        <f>3.6*M53/(N$4*Konstanten!$K$3)</f>
        <v>314.90927231424922</v>
      </c>
      <c r="Q53" s="42">
        <f>0.00099843*P53^1.7385</f>
        <v>21.999510812850549</v>
      </c>
      <c r="R53" s="67">
        <f t="shared" si="31"/>
        <v>0.73520414328172656</v>
      </c>
      <c r="S53" s="33">
        <f>IF(S$7="trocken",T53,IF(Konstanten!$A$18*(V$3^Konstanten!$B$18*T$5^Konstanten!$C$18*T53^Konstanten!$D$18*S$5^Konstanten!$E$18+T$4^Konstanten!$F$18)&lt;1,T53,T53*Konstanten!$A$18*(T$6^Konstanten!$B$18*T$5^Konstanten!$C$18*T53^Konstanten!$D$18*S$5^Konstanten!$E$18+T$4^Konstanten!$F$18)))</f>
        <v>1568.3300993621601</v>
      </c>
      <c r="T53" s="33">
        <f>T$5^Konstanten!$E$7*$A53*$D53^Konstanten!$F$7*T$4^Konstanten!$G$7*S$5^Konstanten!$H$7*(Konstanten!$C$7-T$4^Konstanten!$I$7*Konstanten!$D$7)</f>
        <v>1568.3300993621601</v>
      </c>
      <c r="U53" s="34">
        <f>Konstanten!$C$26*(((($S$3+$T$3)*Konstanten!$I$26+$U$3)/(Konstanten!$I$26+2))^Konstanten!$D$26*$D53^Konstanten!$E$26*ABS($T$4)^Konstanten!$F$26+Konstanten!$H$26*($D53*$A53)^Konstanten!$G$26)</f>
        <v>20.678424800707074</v>
      </c>
      <c r="V53" s="36">
        <f>3.6*S53/(T$4*Konstanten!$K$3)</f>
        <v>674.1907971497227</v>
      </c>
      <c r="W53" s="42">
        <f>0.00023414*V53^1.7777</f>
        <v>25.01513397220598</v>
      </c>
      <c r="X53" s="67">
        <f t="shared" si="32"/>
        <v>0</v>
      </c>
      <c r="Z53" s="45">
        <v>660</v>
      </c>
      <c r="AA53" s="100">
        <f t="shared" si="37"/>
        <v>47.7</v>
      </c>
      <c r="AB53" s="100">
        <v>55.7</v>
      </c>
      <c r="AC53" s="75">
        <f t="shared" si="38"/>
        <v>55.7</v>
      </c>
    </row>
    <row r="54" spans="1:29" x14ac:dyDescent="0.3">
      <c r="A54">
        <v>1130</v>
      </c>
      <c r="B54" s="50">
        <v>1700</v>
      </c>
      <c r="C54" s="65">
        <v>80</v>
      </c>
      <c r="D54" s="27">
        <f t="shared" si="39"/>
        <v>1090</v>
      </c>
      <c r="E54" s="23">
        <f>F$5^Konstanten!$E$5*$A54*$D54^Konstanten!$F$5*F$4^Konstanten!$G$5*E$5^Konstanten!$H$5*(Konstanten!$C$5-F$4^Konstanten!$I$5*Konstanten!$D$5)</f>
        <v>2614.2717647007289</v>
      </c>
      <c r="F54" s="28">
        <f>Konstanten!$C$24*(((($E$3+$F$3)*Konstanten!$I$24+$G$3)/(Konstanten!$I$24+2))^Konstanten!$D$24*$D54^Konstanten!$E$24*ABS($F$4)^Konstanten!$F$24+Konstanten!$H$24*($D54*$A54)^Konstanten!$G$24)</f>
        <v>34.945483320392007</v>
      </c>
      <c r="G54" s="37">
        <f>3.6*E54/(F$4*Konstanten!$K$3)</f>
        <v>224.76364710801798</v>
      </c>
      <c r="H54" s="43">
        <f t="shared" ref="H54:H57" si="44" xml:space="preserve"> 0.00054927*G54^1.7275</f>
        <v>6.3444308206968412</v>
      </c>
      <c r="I54" s="23">
        <f>J$5^Konstanten!$E$5*$A54*$D54^Konstanten!$F$5*J$4^Konstanten!$G$5*I$5^Konstanten!$H$5*(Konstanten!$C$5-J$4^Konstanten!$I$5*Konstanten!$D$5)</f>
        <v>2127.983819370676</v>
      </c>
      <c r="J54" s="28">
        <f>Konstanten!$C$24*(((($I$3+$J$3)*Konstanten!$I$24+$K$3)/(Konstanten!$I$24+2))^Konstanten!$D$24*$D54^Konstanten!$E$24*ABS($J$4)^Konstanten!$F$24+Konstanten!$H$24*($D54*$A54)^Konstanten!$G$24)</f>
        <v>33.068148435481426</v>
      </c>
      <c r="K54" s="37">
        <f>3.6*I54/(J$4*Konstanten!$K$3)</f>
        <v>121.96982493984797</v>
      </c>
      <c r="L54" s="43">
        <f t="shared" ref="L54:L57" si="45" xml:space="preserve"> 0.00054927*K54^1.7275</f>
        <v>2.2069215793482866</v>
      </c>
      <c r="M54" s="23">
        <f>IF(M$7="trocken",N54,IF(Konstanten!$A$18*(N$6^Konstanten!$B$18*N$5^Konstanten!$C$18*N54^Konstanten!$D$18*M$5^Konstanten!$E$18+N$4^Konstanten!$F$18)&lt;1,N54,N54*Konstanten!$A$18*(N$6^Konstanten!$B$18*N$5^Konstanten!$C$18*N54^Konstanten!$D$18*M$5^Konstanten!$E$18+N$4^Konstanten!$F$18)))</f>
        <v>1902.1996051716872</v>
      </c>
      <c r="N54" s="23">
        <f>N$5^Konstanten!$E$7*$A54*$D54^Konstanten!$F$7*N$4^Konstanten!$G$7*M$5^Konstanten!$H$7*(Konstanten!$C$7-N$4^Konstanten!$I$7*Konstanten!$D$7)</f>
        <v>1545.932134138184</v>
      </c>
      <c r="O54" s="28">
        <f>Konstanten!$C$26*(((($M$3+$N$3)*Konstanten!$I$26+$O$3)/(Konstanten!$I$26+2))^Konstanten!$D$26*$D54^Konstanten!$E$26*ABS($N$4)^Konstanten!$F$26+Konstanten!$H$26*($D54*$A54)^Konstanten!$G$26)</f>
        <v>15.267823369435931</v>
      </c>
      <c r="P54" s="37">
        <f>3.6*M54/(N$4*Konstanten!$K$3)</f>
        <v>233.63256947540359</v>
      </c>
      <c r="Q54" s="43">
        <f t="shared" ref="Q54:Q57" si="46">0.00099843*P54^1.7385</f>
        <v>13.092208476901677</v>
      </c>
      <c r="R54" s="68">
        <f t="shared" si="31"/>
        <v>0.56826003354922971</v>
      </c>
      <c r="S54" s="23">
        <f>IF(S$7="trocken",T54,IF(Konstanten!$A$18*(V$3^Konstanten!$B$18*T$5^Konstanten!$C$18*T54^Konstanten!$D$18*S$5^Konstanten!$E$18+T$4^Konstanten!$F$18)&lt;1,T54,T54*Konstanten!$A$18*(T$6^Konstanten!$B$18*T$5^Konstanten!$C$18*T54^Konstanten!$D$18*S$5^Konstanten!$E$18+T$4^Konstanten!$F$18)))</f>
        <v>1152.8867622409016</v>
      </c>
      <c r="T54" s="23">
        <f>T$5^Konstanten!$E$7*$A54*$D54^Konstanten!$F$7*T$4^Konstanten!$G$7*S$5^Konstanten!$H$7*(Konstanten!$C$7-T$4^Konstanten!$I$7*Konstanten!$D$7)</f>
        <v>1152.8867622409016</v>
      </c>
      <c r="U54" s="28">
        <f>Konstanten!$C$26*(((($S$3+$T$3)*Konstanten!$I$26+$U$3)/(Konstanten!$I$26+2))^Konstanten!$D$26*$D54^Konstanten!$E$26*ABS($T$4)^Konstanten!$F$26+Konstanten!$H$26*($D54*$A54)^Konstanten!$G$26)</f>
        <v>19.9564069161374</v>
      </c>
      <c r="V54" s="37">
        <f>3.6*S54/(T$4*Konstanten!$K$3)</f>
        <v>495.60079576019763</v>
      </c>
      <c r="W54" s="43">
        <f t="shared" ref="W54:W57" si="47">0.00023414*V54^1.7777</f>
        <v>14.474772997730785</v>
      </c>
      <c r="X54" s="68">
        <f t="shared" si="32"/>
        <v>0</v>
      </c>
      <c r="Z54" s="46">
        <v>520</v>
      </c>
      <c r="AA54" s="98">
        <f t="shared" si="37"/>
        <v>40.6</v>
      </c>
      <c r="AB54" s="98">
        <v>48.6</v>
      </c>
      <c r="AC54" s="75">
        <f t="shared" si="38"/>
        <v>48.6</v>
      </c>
    </row>
    <row r="55" spans="1:29" x14ac:dyDescent="0.3">
      <c r="A55">
        <v>1130</v>
      </c>
      <c r="B55" s="50">
        <v>1700</v>
      </c>
      <c r="C55" s="65">
        <v>60</v>
      </c>
      <c r="D55" s="27">
        <f t="shared" si="39"/>
        <v>830</v>
      </c>
      <c r="E55" s="23">
        <f>F$5^Konstanten!$E$5*$A55*$D55^Konstanten!$F$5*F$4^Konstanten!$G$5*E$5^Konstanten!$H$5*(Konstanten!$C$5-F$4^Konstanten!$I$5*Konstanten!$D$5)</f>
        <v>2119.1744927332165</v>
      </c>
      <c r="F55" s="28">
        <f>Konstanten!$C$24*(((($E$3+$F$3)*Konstanten!$I$24+$G$3)/(Konstanten!$I$24+2))^Konstanten!$D$24*$D55^Konstanten!$E$24*ABS($F$4)^Konstanten!$F$24+Konstanten!$H$24*($D55*$A55)^Konstanten!$G$24)</f>
        <v>36.920792699012296</v>
      </c>
      <c r="G55" s="37">
        <f>3.6*E55/(F$4*Konstanten!$K$3)</f>
        <v>182.19735005229194</v>
      </c>
      <c r="H55" s="43">
        <f t="shared" si="44"/>
        <v>4.4144060808329977</v>
      </c>
      <c r="I55" s="23">
        <f>J$5^Konstanten!$E$5*$A55*$D55^Konstanten!$F$5*J$4^Konstanten!$G$5*I$5^Konstanten!$H$5*(Konstanten!$C$5-J$4^Konstanten!$I$5*Konstanten!$D$5)</f>
        <v>1724.9809648139549</v>
      </c>
      <c r="J55" s="28">
        <f>Konstanten!$C$24*(((($I$3+$J$3)*Konstanten!$I$24+$K$3)/(Konstanten!$I$24+2))^Konstanten!$D$24*$D55^Konstanten!$E$24*ABS($J$4)^Konstanten!$F$24+Konstanten!$H$24*($D55*$A55)^Konstanten!$G$24)</f>
        <v>34.832415252594878</v>
      </c>
      <c r="K55" s="37">
        <f>3.6*I55/(J$4*Konstanten!$K$3)</f>
        <v>98.870876924783161</v>
      </c>
      <c r="L55" s="43">
        <f t="shared" si="45"/>
        <v>1.5355590304516222</v>
      </c>
      <c r="M55" s="23">
        <f>IF(M$7="trocken",N55,IF(Konstanten!$A$18*(N$6^Konstanten!$B$18*N$5^Konstanten!$C$18*N55^Konstanten!$D$18*M$5^Konstanten!$E$18+N$4^Konstanten!$F$18)&lt;1,N55,N55*Konstanten!$A$18*(N$6^Konstanten!$B$18*N$5^Konstanten!$C$18*N55^Konstanten!$D$18*M$5^Konstanten!$E$18+N$4^Konstanten!$F$18)))</f>
        <v>1300.4776712952785</v>
      </c>
      <c r="N55" s="23">
        <f>N$5^Konstanten!$E$7*$A55*$D55^Konstanten!$F$7*N$4^Konstanten!$G$7*M$5^Konstanten!$H$7*(Konstanten!$C$7-N$4^Konstanten!$I$7*Konstanten!$D$7)</f>
        <v>1044.5795259445936</v>
      </c>
      <c r="O55" s="28">
        <f>Konstanten!$C$26*(((($M$3+$N$3)*Konstanten!$I$26+$O$3)/(Konstanten!$I$26+2))^Konstanten!$D$26*$D55^Konstanten!$E$26*ABS($N$4)^Konstanten!$F$26+Konstanten!$H$26*($D55*$A55)^Konstanten!$G$26)</f>
        <v>14.604245239565385</v>
      </c>
      <c r="P55" s="37">
        <f>3.6*M55/(N$4*Konstanten!$K$3)</f>
        <v>159.72768528814936</v>
      </c>
      <c r="Q55" s="43">
        <f t="shared" si="46"/>
        <v>6.7591813098457445</v>
      </c>
      <c r="R55" s="68">
        <f t="shared" si="31"/>
        <v>0.40816717911496042</v>
      </c>
      <c r="S55" s="23">
        <f>IF(S$7="trocken",T55,IF(Konstanten!$A$18*(V$3^Konstanten!$B$18*T$5^Konstanten!$C$18*T55^Konstanten!$D$18*S$5^Konstanten!$E$18+T$4^Konstanten!$F$18)&lt;1,T55,T55*Konstanten!$A$18*(T$6^Konstanten!$B$18*T$5^Konstanten!$C$18*T55^Konstanten!$D$18*S$5^Konstanten!$E$18+T$4^Konstanten!$F$18)))</f>
        <v>779.00050136466928</v>
      </c>
      <c r="T55" s="23">
        <f>T$5^Konstanten!$E$7*$A55*$D55^Konstanten!$F$7*T$4^Konstanten!$G$7*S$5^Konstanten!$H$7*(Konstanten!$C$7-T$4^Konstanten!$I$7*Konstanten!$D$7)</f>
        <v>779.00050136466928</v>
      </c>
      <c r="U55" s="28">
        <f>Konstanten!$C$26*(((($S$3+$T$3)*Konstanten!$I$26+$U$3)/(Konstanten!$I$26+2))^Konstanten!$D$26*$D55^Konstanten!$E$26*ABS($T$4)^Konstanten!$F$26+Konstanten!$H$26*($D55*$A55)^Konstanten!$G$26)</f>
        <v>19.077928774247127</v>
      </c>
      <c r="V55" s="37">
        <f>3.6*S55/(T$4*Konstanten!$K$3)</f>
        <v>334.8752722457325</v>
      </c>
      <c r="W55" s="43">
        <f t="shared" si="47"/>
        <v>7.2104150538984779</v>
      </c>
      <c r="X55" s="68">
        <f t="shared" si="32"/>
        <v>0</v>
      </c>
      <c r="Z55" s="46">
        <v>380</v>
      </c>
      <c r="AA55" s="98">
        <f t="shared" si="37"/>
        <v>31.9</v>
      </c>
      <c r="AB55" s="98">
        <v>39.9</v>
      </c>
      <c r="AC55" s="75">
        <f t="shared" si="38"/>
        <v>39.9</v>
      </c>
    </row>
    <row r="56" spans="1:29" x14ac:dyDescent="0.3">
      <c r="A56">
        <v>1130</v>
      </c>
      <c r="B56" s="50">
        <v>1700</v>
      </c>
      <c r="C56" s="65">
        <v>40</v>
      </c>
      <c r="D56" s="27">
        <f t="shared" si="39"/>
        <v>565</v>
      </c>
      <c r="E56" s="23">
        <f>F$5^Konstanten!$E$5*$A56*$D56^Konstanten!$F$5*F$4^Konstanten!$G$5*E$5^Konstanten!$H$5*(Konstanten!$C$5-F$4^Konstanten!$I$5*Konstanten!$D$5)</f>
        <v>1575.7061159875516</v>
      </c>
      <c r="F56" s="28">
        <f>Konstanten!$C$24*(((($E$3+$F$3)*Konstanten!$I$24+$G$3)/(Konstanten!$I$24+2))^Konstanten!$D$24*$D56^Konstanten!$E$24*ABS($F$4)^Konstanten!$F$24+Konstanten!$H$24*($D56*$A56)^Konstanten!$G$24)</f>
        <v>40.24122431758915</v>
      </c>
      <c r="G56" s="37">
        <f>3.6*E56/(F$4*Konstanten!$K$3)</f>
        <v>135.47231706429523</v>
      </c>
      <c r="H56" s="43">
        <f t="shared" si="44"/>
        <v>2.6458043115590733</v>
      </c>
      <c r="I56" s="23">
        <f>J$5^Konstanten!$E$5*$A56*$D56^Konstanten!$F$5*J$4^Konstanten!$G$5*I$5^Konstanten!$H$5*(Konstanten!$C$5-J$4^Konstanten!$I$5*Konstanten!$D$5)</f>
        <v>1282.6046489044986</v>
      </c>
      <c r="J56" s="28">
        <f>Konstanten!$C$24*(((($I$3+$J$3)*Konstanten!$I$24+$K$3)/(Konstanten!$I$24+2))^Konstanten!$D$24*$D56^Konstanten!$E$24*ABS($J$4)^Konstanten!$F$24+Konstanten!$H$24*($D56*$A56)^Konstanten!$G$24)</f>
        <v>37.814012205439845</v>
      </c>
      <c r="K56" s="37">
        <f>3.6*I56/(J$4*Konstanten!$K$3)</f>
        <v>73.515156962134085</v>
      </c>
      <c r="L56" s="43">
        <f t="shared" si="45"/>
        <v>0.92034774985080603</v>
      </c>
      <c r="M56" s="23">
        <f>IF(M$7="trocken",N56,IF(Konstanten!$A$18*(N$6^Konstanten!$B$18*N$5^Konstanten!$C$18*N56^Konstanten!$D$18*M$5^Konstanten!$E$18+N$4^Konstanten!$F$18)&lt;1,N56,N56*Konstanten!$A$18*(N$6^Konstanten!$B$18*N$5^Konstanten!$C$18*N56^Konstanten!$D$18*M$5^Konstanten!$E$18+N$4^Konstanten!$F$18)))</f>
        <v>760.36056305382306</v>
      </c>
      <c r="N56" s="23">
        <f>N$5^Konstanten!$E$7*$A56*$D56^Konstanten!$F$7*N$4^Konstanten!$G$7*M$5^Konstanten!$H$7*(Konstanten!$C$7-N$4^Konstanten!$I$7*Konstanten!$D$7)</f>
        <v>600.70698841755188</v>
      </c>
      <c r="O56" s="28">
        <f>Konstanten!$C$26*(((($M$3+$N$3)*Konstanten!$I$26+$O$3)/(Konstanten!$I$26+2))^Konstanten!$D$26*$D56^Konstanten!$E$26*ABS($N$4)^Konstanten!$F$26+Konstanten!$H$26*($D56*$A56)^Konstanten!$G$26)</f>
        <v>13.726772778856953</v>
      </c>
      <c r="P56" s="37">
        <f>3.6*M56/(N$4*Konstanten!$K$3)</f>
        <v>93.389248736593842</v>
      </c>
      <c r="Q56" s="43">
        <f t="shared" si="46"/>
        <v>2.6587576396054149</v>
      </c>
      <c r="R56" s="68">
        <f t="shared" si="31"/>
        <v>0.25465346419609053</v>
      </c>
      <c r="S56" s="23">
        <f>IF(S$7="trocken",T56,IF(Konstanten!$A$18*(V$3^Konstanten!$B$18*T$5^Konstanten!$C$18*T56^Konstanten!$D$18*S$5^Konstanten!$E$18+T$4^Konstanten!$F$18)&lt;1,T56,T56*Konstanten!$A$18*(T$6^Konstanten!$B$18*T$5^Konstanten!$C$18*T56^Konstanten!$D$18*S$5^Konstanten!$E$18+T$4^Konstanten!$F$18)))</f>
        <v>447.98029592564939</v>
      </c>
      <c r="T56" s="23">
        <f>T$5^Konstanten!$E$7*$A56*$D56^Konstanten!$F$7*T$4^Konstanten!$G$7*S$5^Konstanten!$H$7*(Konstanten!$C$7-T$4^Konstanten!$I$7*Konstanten!$D$7)</f>
        <v>447.98029592564939</v>
      </c>
      <c r="U56" s="28">
        <f>Konstanten!$C$26*(((($S$3+$T$3)*Konstanten!$I$26+$U$3)/(Konstanten!$I$26+2))^Konstanten!$D$26*$D56^Konstanten!$E$26*ABS($T$4)^Konstanten!$F$26+Konstanten!$H$26*($D56*$A56)^Konstanten!$G$26)</f>
        <v>17.913814266547245</v>
      </c>
      <c r="V56" s="37">
        <f>3.6*S56/(T$4*Konstanten!$K$3)</f>
        <v>192.5769281226672</v>
      </c>
      <c r="W56" s="43">
        <f t="shared" si="47"/>
        <v>2.6966004197674072</v>
      </c>
      <c r="X56" s="68">
        <f t="shared" si="32"/>
        <v>0</v>
      </c>
      <c r="Z56" s="46">
        <v>235</v>
      </c>
      <c r="AA56" s="98">
        <f t="shared" si="37"/>
        <v>19.600000000000001</v>
      </c>
      <c r="AB56" s="98">
        <v>27.6</v>
      </c>
      <c r="AC56" s="75" t="str">
        <f t="shared" si="38"/>
        <v>&lt; 28 dB(A)</v>
      </c>
    </row>
    <row r="57" spans="1:29" x14ac:dyDescent="0.3">
      <c r="A57" s="22">
        <v>1130</v>
      </c>
      <c r="B57" s="51">
        <v>1700</v>
      </c>
      <c r="C57" s="66">
        <v>20</v>
      </c>
      <c r="D57" s="78">
        <f t="shared" si="39"/>
        <v>300</v>
      </c>
      <c r="E57" s="24">
        <f>F$5^Konstanten!$E$5*$A57*$D57^Konstanten!$F$5*F$4^Konstanten!$G$5*E$5^Konstanten!$H$5*(Konstanten!$C$5-F$4^Konstanten!$I$5*Konstanten!$D$5)</f>
        <v>967.50182144319422</v>
      </c>
      <c r="F57" s="29">
        <f>Konstanten!$C$24*(((($E$3+$F$3)*Konstanten!$I$24+$G$3)/(Konstanten!$I$24+2))^Konstanten!$D$24*$D57^Konstanten!$E$24*ABS($F$4)^Konstanten!$F$24+Konstanten!$H$24*($D57*$A57)^Konstanten!$G$24)</f>
        <v>47.289038075257693</v>
      </c>
      <c r="G57" s="38">
        <f>3.6*E57/(F$4*Konstanten!$K$3)</f>
        <v>83.181573127733557</v>
      </c>
      <c r="H57" s="44">
        <f t="shared" si="44"/>
        <v>1.1392859604685528</v>
      </c>
      <c r="I57" s="24">
        <f>J$5^Konstanten!$E$5*$A57*$D57^Konstanten!$F$5*J$4^Konstanten!$G$5*I$5^Konstanten!$H$5*(Konstanten!$C$5-J$4^Konstanten!$I$5*Konstanten!$D$5)</f>
        <v>787.53412290265851</v>
      </c>
      <c r="J57" s="29">
        <f>Konstanten!$C$24*(((($I$3+$J$3)*Konstanten!$I$24+$K$3)/(Konstanten!$I$24+2))^Konstanten!$D$24*$D57^Konstanten!$E$24*ABS($J$4)^Konstanten!$F$24+Konstanten!$H$24*($D57*$A57)^Konstanten!$G$24)</f>
        <v>44.180272011144346</v>
      </c>
      <c r="K57" s="38">
        <f>3.6*I57/(J$4*Konstanten!$K$3)</f>
        <v>45.139158592381179</v>
      </c>
      <c r="L57" s="44">
        <f t="shared" si="45"/>
        <v>0.39630265381795526</v>
      </c>
      <c r="M57" s="24">
        <f>IF(M$7="trocken",N57,IF(Konstanten!$A$18*(N$6^Konstanten!$B$18*N$5^Konstanten!$C$18*N57^Konstanten!$D$18*M$5^Konstanten!$E$18+N$4^Konstanten!$F$18)&lt;1,N57,N57*Konstanten!$A$18*(N$6^Konstanten!$B$18*N$5^Konstanten!$C$18*N57^Konstanten!$D$18*M$5^Konstanten!$E$18+N$4^Konstanten!$F$18)))</f>
        <v>314.32488566405789</v>
      </c>
      <c r="N57" s="24">
        <f>N$5^Konstanten!$E$7*$A57*$D57^Konstanten!$F$7*N$4^Konstanten!$G$7*M$5^Konstanten!$H$7*(Konstanten!$C$7-N$4^Konstanten!$I$7*Konstanten!$D$7)</f>
        <v>241.6400517390594</v>
      </c>
      <c r="O57" s="29">
        <f>Konstanten!$C$26*(((($M$3+$N$3)*Konstanten!$I$26+$O$3)/(Konstanten!$I$26+2))^Konstanten!$D$26*$D57^Konstanten!$E$26*ABS($N$4)^Konstanten!$F$26+Konstanten!$H$26*($D57*$A57)^Konstanten!$G$26)</f>
        <v>12.426237449725106</v>
      </c>
      <c r="P57" s="38">
        <f>3.6*M57/(N$4*Konstanten!$K$3)</f>
        <v>38.606111833951374</v>
      </c>
      <c r="Q57" s="44">
        <f t="shared" si="46"/>
        <v>0.57242578689430901</v>
      </c>
      <c r="R57" s="69">
        <f t="shared" si="31"/>
        <v>0.11593504746565997</v>
      </c>
      <c r="S57" s="24">
        <f>IF(S$7="trocken",T57,IF(Konstanten!$A$18*(V$3^Konstanten!$B$18*T$5^Konstanten!$C$18*T57^Konstanten!$D$18*S$5^Konstanten!$E$18+T$4^Konstanten!$F$18)&lt;1,T57,T57*Konstanten!$A$18*(T$6^Konstanten!$B$18*T$5^Konstanten!$C$18*T57^Konstanten!$D$18*S$5^Konstanten!$E$18+T$4^Konstanten!$F$18)))</f>
        <v>180.20429922201672</v>
      </c>
      <c r="T57" s="24">
        <f>T$5^Konstanten!$E$7*$A57*$D57^Konstanten!$F$7*T$4^Konstanten!$G$7*S$5^Konstanten!$H$7*(Konstanten!$C$7-T$4^Konstanten!$I$7*Konstanten!$D$7)</f>
        <v>180.20429922201672</v>
      </c>
      <c r="U57" s="29">
        <f>Konstanten!$C$26*(((($S$3+$T$3)*Konstanten!$I$26+$U$3)/(Konstanten!$I$26+2))^Konstanten!$D$26*$D57^Konstanten!$E$26*ABS($T$4)^Konstanten!$F$26+Konstanten!$H$26*($D57*$A57)^Konstanten!$G$26)</f>
        <v>16.180911356642262</v>
      </c>
      <c r="V57" s="38">
        <f>3.6*S57/(T$4*Konstanten!$K$3)</f>
        <v>77.46588565233138</v>
      </c>
      <c r="W57" s="44">
        <f t="shared" si="47"/>
        <v>0.53425344696623978</v>
      </c>
      <c r="X57" s="69">
        <f t="shared" si="32"/>
        <v>0</v>
      </c>
      <c r="Z57" s="47">
        <v>90</v>
      </c>
      <c r="AA57" s="99">
        <f t="shared" si="37"/>
        <v>15.5</v>
      </c>
      <c r="AB57" s="99">
        <v>23.5</v>
      </c>
      <c r="AC57" s="75" t="str">
        <f t="shared" si="38"/>
        <v>&lt; 28 dB(A)</v>
      </c>
    </row>
    <row r="58" spans="1:29" x14ac:dyDescent="0.3">
      <c r="A58" s="32">
        <v>1480</v>
      </c>
      <c r="B58" s="49">
        <v>2000</v>
      </c>
      <c r="C58" s="64">
        <v>100</v>
      </c>
      <c r="D58" s="53">
        <f t="shared" si="39"/>
        <v>1350</v>
      </c>
      <c r="E58" s="33">
        <f>F$5^Konstanten!$E$5*$A58*$D58^Konstanten!$F$5*F$4^Konstanten!$G$5*E$5^Konstanten!$H$5*(Konstanten!$C$5-F$4^Konstanten!$I$5*Konstanten!$D$5)</f>
        <v>4037.5355746631581</v>
      </c>
      <c r="F58" s="34">
        <f>Konstanten!$C$24*(((($E$3+$F$3)*Konstanten!$I$24+$G$3)/(Konstanten!$I$24+2))^Konstanten!$D$24*$D58^Konstanten!$E$24*ABS($F$4)^Konstanten!$F$24+Konstanten!$H$24*($D58*$A58)^Konstanten!$G$24)</f>
        <v>34.18714829393204</v>
      </c>
      <c r="G58" s="36">
        <f>3.6*E58/(F$4*Konstanten!$K$3)</f>
        <v>347.12964173927207</v>
      </c>
      <c r="H58" s="42">
        <f xml:space="preserve"> 0.00057148*G58^1.764</f>
        <v>17.315235195260961</v>
      </c>
      <c r="I58" s="33">
        <f>J$5^Konstanten!$E$5*$A58*$D58^Konstanten!$F$5*J$4^Konstanten!$G$5*I$5^Konstanten!$H$5*(Konstanten!$C$5-J$4^Konstanten!$I$5*Konstanten!$D$5)</f>
        <v>3286.5023786080014</v>
      </c>
      <c r="J58" s="34">
        <f>Konstanten!$C$24*(((($I$3+$J$3)*Konstanten!$I$24+$K$3)/(Konstanten!$I$24+2))^Konstanten!$D$24*$D58^Konstanten!$E$24*ABS($J$4)^Konstanten!$F$24+Konstanten!$H$24*($D58*$A58)^Konstanten!$G$24)</f>
        <v>32.460433980394022</v>
      </c>
      <c r="K58" s="36">
        <f>3.6*I58/(J$4*Konstanten!$K$3)</f>
        <v>188.37272921640886</v>
      </c>
      <c r="L58" s="42">
        <f xml:space="preserve"> 0.00057148*K58^1.764</f>
        <v>5.8902379713873918</v>
      </c>
      <c r="M58" s="33">
        <f>IF(M$7="trocken",N58,IF(Konstanten!$A$18*(N$6^Konstanten!$B$18*N$5^Konstanten!$C$18*N58^Konstanten!$D$18*M$5^Konstanten!$E$18+N$4^Konstanten!$F$18)&lt;1,N58,N58*Konstanten!$A$18*(N$6^Konstanten!$B$18*N$5^Konstanten!$C$18*N58^Konstanten!$D$18*M$5^Konstanten!$E$18+N$4^Konstanten!$F$18)))</f>
        <v>3331.0909506285698</v>
      </c>
      <c r="N58" s="33">
        <f>N$5^Konstanten!$E$7*$A58*$D58^Konstanten!$F$7*N$4^Konstanten!$G$7*M$5^Konstanten!$H$7*(Konstanten!$C$7-N$4^Konstanten!$I$7*Konstanten!$D$7)</f>
        <v>2754.3842194618264</v>
      </c>
      <c r="O58" s="34">
        <f>Konstanten!$C$26*(((($M$3+$N$3)*Konstanten!$I$26+$O$3)/(Konstanten!$I$26+2))^Konstanten!$D$26*$D58^Konstanten!$E$26*ABS($N$4)^Konstanten!$F$26+Konstanten!$H$26*($D58*$A58)^Konstanten!$G$26)</f>
        <v>15.792683205860925</v>
      </c>
      <c r="P58" s="36">
        <f>3.6*M58/(N$4*Konstanten!$K$3)</f>
        <v>409.13232020220863</v>
      </c>
      <c r="Q58" s="42">
        <f>0.00099843*P58^1.7385</f>
        <v>34.67710381806306</v>
      </c>
      <c r="R58" s="67">
        <f t="shared" si="31"/>
        <v>0.91986895533906787</v>
      </c>
      <c r="S58" s="33">
        <f>IF(S$7="trocken",T58,IF(Konstanten!$A$18*(V$3^Konstanten!$B$18*T$5^Konstanten!$C$18*T58^Konstanten!$D$18*S$5^Konstanten!$E$18+T$4^Konstanten!$F$18)&lt;1,T58,T58*Konstanten!$A$18*(T$6^Konstanten!$B$18*T$5^Konstanten!$C$18*T58^Konstanten!$D$18*S$5^Konstanten!$E$18+T$4^Konstanten!$F$18)))</f>
        <v>2054.0960593415903</v>
      </c>
      <c r="T58" s="33">
        <f>T$5^Konstanten!$E$7*$A58*$D58^Konstanten!$F$7*T$4^Konstanten!$G$7*S$5^Konstanten!$H$7*(Konstanten!$C$7-T$4^Konstanten!$I$7*Konstanten!$D$7)</f>
        <v>2054.0960593415903</v>
      </c>
      <c r="U58" s="34">
        <f>Konstanten!$C$26*(((($S$3+$T$3)*Konstanten!$I$26+$U$3)/(Konstanten!$I$26+2))^Konstanten!$D$26*$D58^Konstanten!$E$26*ABS($T$4)^Konstanten!$F$26+Konstanten!$H$26*($D58*$A58)^Konstanten!$G$26)</f>
        <v>20.65717844488611</v>
      </c>
      <c r="V58" s="36">
        <f>3.6*S58/(T$4*Konstanten!$K$3)</f>
        <v>883.01095555892891</v>
      </c>
      <c r="W58" s="42">
        <f>0.00031286*V58^1.7659</f>
        <v>49.846143416662947</v>
      </c>
      <c r="X58" s="67">
        <f t="shared" si="32"/>
        <v>0</v>
      </c>
      <c r="Z58" s="45">
        <v>865</v>
      </c>
      <c r="AA58" s="100">
        <f t="shared" si="37"/>
        <v>48.8</v>
      </c>
      <c r="AB58" s="100">
        <v>56.8</v>
      </c>
      <c r="AC58" s="75">
        <f t="shared" si="38"/>
        <v>56.8</v>
      </c>
    </row>
    <row r="59" spans="1:29" x14ac:dyDescent="0.3">
      <c r="A59">
        <v>1480</v>
      </c>
      <c r="B59" s="50">
        <v>2000</v>
      </c>
      <c r="C59" s="65">
        <v>80</v>
      </c>
      <c r="D59" s="27">
        <f t="shared" si="39"/>
        <v>1090</v>
      </c>
      <c r="E59" s="23">
        <f>F$5^Konstanten!$E$5*$A59*$D59^Konstanten!$F$5*F$4^Konstanten!$G$5*E$5^Konstanten!$H$5*(Konstanten!$C$5-F$4^Konstanten!$I$5*Konstanten!$D$5)</f>
        <v>3424.001957307149</v>
      </c>
      <c r="F59" s="28">
        <f>Konstanten!$C$24*(((($E$3+$F$3)*Konstanten!$I$24+$G$3)/(Konstanten!$I$24+2))^Konstanten!$D$24*$D59^Konstanten!$E$24*ABS($F$4)^Konstanten!$F$24+Konstanten!$H$24*($D59*$A59)^Konstanten!$G$24)</f>
        <v>35.518666957136098</v>
      </c>
      <c r="G59" s="37">
        <f>3.6*E59/(F$4*Konstanten!$K$3)</f>
        <v>294.38070594678459</v>
      </c>
      <c r="H59" s="43">
        <f t="shared" ref="H59:H62" si="48" xml:space="preserve"> 0.00057148*G59^1.764</f>
        <v>12.946641315437107</v>
      </c>
      <c r="I59" s="23">
        <f>J$5^Konstanten!$E$5*$A59*$D59^Konstanten!$F$5*J$4^Konstanten!$G$5*I$5^Konstanten!$H$5*(Konstanten!$C$5-J$4^Konstanten!$I$5*Konstanten!$D$5)</f>
        <v>2787.0938519191154</v>
      </c>
      <c r="J59" s="28">
        <f>Konstanten!$C$24*(((($I$3+$J$3)*Konstanten!$I$24+$K$3)/(Konstanten!$I$24+2))^Konstanten!$D$24*$D59^Konstanten!$E$24*ABS($J$4)^Konstanten!$F$24+Konstanten!$H$24*($D59*$A59)^Konstanten!$G$24)</f>
        <v>33.641332072225509</v>
      </c>
      <c r="K59" s="37">
        <f>3.6*I59/(J$4*Konstanten!$K$3)</f>
        <v>159.74808930174774</v>
      </c>
      <c r="L59" s="43">
        <f t="shared" ref="L59:L62" si="49" xml:space="preserve"> 0.00057148*K59^1.764</f>
        <v>4.4041445246433462</v>
      </c>
      <c r="M59" s="23">
        <f>IF(M$7="trocken",N59,IF(Konstanten!$A$18*(N$6^Konstanten!$B$18*N$5^Konstanten!$C$18*N59^Konstanten!$D$18*M$5^Konstanten!$E$18+N$4^Konstanten!$F$18)&lt;1,N59,N59*Konstanten!$A$18*(N$6^Konstanten!$B$18*N$5^Konstanten!$C$18*N59^Konstanten!$D$18*M$5^Konstanten!$E$18+N$4^Konstanten!$F$18)))</f>
        <v>2471.3441262949859</v>
      </c>
      <c r="N59" s="23">
        <f>N$5^Konstanten!$E$7*$A59*$D59^Konstanten!$F$7*N$4^Konstanten!$G$7*M$5^Konstanten!$H$7*(Konstanten!$C$7-N$4^Konstanten!$I$7*Konstanten!$D$7)</f>
        <v>2024.76067126063</v>
      </c>
      <c r="O59" s="28">
        <f>Konstanten!$C$26*(((($M$3+$N$3)*Konstanten!$I$26+$O$3)/(Konstanten!$I$26+2))^Konstanten!$D$26*$D59^Konstanten!$E$26*ABS($N$4)^Konstanten!$F$26+Konstanten!$H$26*($D59*$A59)^Konstanten!$G$26)</f>
        <v>15.244557757391002</v>
      </c>
      <c r="P59" s="37">
        <f>3.6*M59/(N$4*Konstanten!$K$3)</f>
        <v>303.53622023390687</v>
      </c>
      <c r="Q59" s="43">
        <f t="shared" ref="Q59:Q62" si="50">0.00099843*P59^1.7385</f>
        <v>20.636717259439003</v>
      </c>
      <c r="R59" s="68">
        <f t="shared" si="31"/>
        <v>0.71231742938576936</v>
      </c>
      <c r="S59" s="23">
        <f>IF(S$7="trocken",T59,IF(Konstanten!$A$18*(V$3^Konstanten!$B$18*T$5^Konstanten!$C$18*T59^Konstanten!$D$18*S$5^Konstanten!$E$18+T$4^Konstanten!$F$18)&lt;1,T59,T59*Konstanten!$A$18*(T$6^Konstanten!$B$18*T$5^Konstanten!$C$18*T59^Konstanten!$D$18*S$5^Konstanten!$E$18+T$4^Konstanten!$F$18)))</f>
        <v>1509.975582404013</v>
      </c>
      <c r="T59" s="23">
        <f>T$5^Konstanten!$E$7*$A59*$D59^Konstanten!$F$7*T$4^Konstanten!$G$7*S$5^Konstanten!$H$7*(Konstanten!$C$7-T$4^Konstanten!$I$7*Konstanten!$D$7)</f>
        <v>1509.975582404013</v>
      </c>
      <c r="U59" s="28">
        <f>Konstanten!$C$26*(((($S$3+$T$3)*Konstanten!$I$26+$U$3)/(Konstanten!$I$26+2))^Konstanten!$D$26*$D59^Konstanten!$E$26*ABS($T$4)^Konstanten!$F$26+Konstanten!$H$26*($D59*$A59)^Konstanten!$G$26)</f>
        <v>19.933141304092469</v>
      </c>
      <c r="V59" s="37">
        <f>3.6*S59/(T$4*Konstanten!$K$3)</f>
        <v>649.10546701335625</v>
      </c>
      <c r="W59" s="43">
        <f t="shared" ref="W59:W62" si="51">0.00031286*V59^1.7659</f>
        <v>28.947933804944455</v>
      </c>
      <c r="X59" s="68">
        <f t="shared" si="32"/>
        <v>0</v>
      </c>
      <c r="Z59" s="46">
        <v>680</v>
      </c>
      <c r="AA59" s="98">
        <f t="shared" si="37"/>
        <v>41.7</v>
      </c>
      <c r="AB59" s="98">
        <v>49.7</v>
      </c>
      <c r="AC59" s="75">
        <f t="shared" si="38"/>
        <v>49.7</v>
      </c>
    </row>
    <row r="60" spans="1:29" x14ac:dyDescent="0.3">
      <c r="A60">
        <v>1480</v>
      </c>
      <c r="B60" s="50">
        <v>2000</v>
      </c>
      <c r="C60" s="65">
        <v>60</v>
      </c>
      <c r="D60" s="27">
        <f t="shared" si="39"/>
        <v>830</v>
      </c>
      <c r="E60" s="23">
        <f>F$5^Konstanten!$E$5*$A60*$D60^Konstanten!$F$5*F$4^Konstanten!$G$5*E$5^Konstanten!$H$5*(Konstanten!$C$5-F$4^Konstanten!$I$5*Konstanten!$D$5)</f>
        <v>2775.5559727833274</v>
      </c>
      <c r="F60" s="28">
        <f>Konstanten!$C$24*(((($E$3+$F$3)*Konstanten!$I$24+$G$3)/(Konstanten!$I$24+2))^Konstanten!$D$24*$D60^Konstanten!$E$24*ABS($F$4)^Konstanten!$F$24+Konstanten!$H$24*($D60*$A60)^Konstanten!$G$24)</f>
        <v>37.468508365261783</v>
      </c>
      <c r="G60" s="37">
        <f>3.6*E60/(F$4*Konstanten!$K$3)</f>
        <v>238.63015759061241</v>
      </c>
      <c r="H60" s="43">
        <f t="shared" si="48"/>
        <v>8.9394029682013318</v>
      </c>
      <c r="I60" s="23">
        <f>J$5^Konstanten!$E$5*$A60*$D60^Konstanten!$F$5*J$4^Konstanten!$G$5*I$5^Konstanten!$H$5*(Konstanten!$C$5-J$4^Konstanten!$I$5*Konstanten!$D$5)</f>
        <v>2259.2671043580999</v>
      </c>
      <c r="J60" s="28">
        <f>Konstanten!$C$24*(((($I$3+$J$3)*Konstanten!$I$24+$K$3)/(Konstanten!$I$24+2))^Konstanten!$D$24*$D60^Konstanten!$E$24*ABS($J$4)^Konstanten!$F$24+Konstanten!$H$24*($D60*$A60)^Konstanten!$G$24)</f>
        <v>35.380130918844365</v>
      </c>
      <c r="K60" s="37">
        <f>3.6*I60/(J$4*Konstanten!$K$3)</f>
        <v>129.49459986608767</v>
      </c>
      <c r="L60" s="43">
        <f t="shared" si="49"/>
        <v>3.0409757771724548</v>
      </c>
      <c r="M60" s="23">
        <f>IF(M$7="trocken",N60,IF(Konstanten!$A$18*(N$6^Konstanten!$B$18*N$5^Konstanten!$C$18*N60^Konstanten!$D$18*M$5^Konstanten!$E$18+N$4^Konstanten!$F$18)&lt;1,N60,N60*Konstanten!$A$18*(N$6^Konstanten!$B$18*N$5^Konstanten!$C$18*N60^Konstanten!$D$18*M$5^Konstanten!$E$18+N$4^Konstanten!$F$18)))</f>
        <v>1689.5790588010934</v>
      </c>
      <c r="N60" s="23">
        <f>N$5^Konstanten!$E$7*$A60*$D60^Konstanten!$F$7*N$4^Konstanten!$G$7*M$5^Konstanten!$H$7*(Konstanten!$C$7-N$4^Konstanten!$I$7*Konstanten!$D$7)</f>
        <v>1368.1218569893792</v>
      </c>
      <c r="O60" s="28">
        <f>Konstanten!$C$26*(((($M$3+$N$3)*Konstanten!$I$26+$O$3)/(Konstanten!$I$26+2))^Konstanten!$D$26*$D60^Konstanten!$E$26*ABS($N$4)^Konstanten!$F$26+Konstanten!$H$26*($D60*$A60)^Konstanten!$G$26)</f>
        <v>14.578127127441183</v>
      </c>
      <c r="P60" s="37">
        <f>3.6*M60/(N$4*Konstanten!$K$3)</f>
        <v>207.51802059379844</v>
      </c>
      <c r="Q60" s="43">
        <f t="shared" si="50"/>
        <v>10.654158622442502</v>
      </c>
      <c r="R60" s="68">
        <f t="shared" si="31"/>
        <v>0.51273634316445338</v>
      </c>
      <c r="S60" s="23">
        <f>IF(S$7="trocken",T60,IF(Konstanten!$A$18*(V$3^Konstanten!$B$18*T$5^Konstanten!$C$18*T60^Konstanten!$D$18*S$5^Konstanten!$E$18+T$4^Konstanten!$F$18)&lt;1,T60,T60*Konstanten!$A$18*(T$6^Konstanten!$B$18*T$5^Konstanten!$C$18*T60^Konstanten!$D$18*S$5^Konstanten!$E$18+T$4^Konstanten!$F$18)))</f>
        <v>1020.2838424953192</v>
      </c>
      <c r="T60" s="23">
        <f>T$5^Konstanten!$E$7*$A60*$D60^Konstanten!$F$7*T$4^Konstanten!$G$7*S$5^Konstanten!$H$7*(Konstanten!$C$7-T$4^Konstanten!$I$7*Konstanten!$D$7)</f>
        <v>1020.2838424953192</v>
      </c>
      <c r="U60" s="28">
        <f>Konstanten!$C$26*(((($S$3+$T$3)*Konstanten!$I$26+$U$3)/(Konstanten!$I$26+2))^Konstanten!$D$26*$D60^Konstanten!$E$26*ABS($T$4)^Konstanten!$F$26+Konstanten!$H$26*($D60*$A60)^Konstanten!$G$26)</f>
        <v>19.051810662122922</v>
      </c>
      <c r="V60" s="37">
        <f>3.6*S60/(T$4*Konstanten!$K$3)</f>
        <v>438.59770170237533</v>
      </c>
      <c r="W60" s="43">
        <f t="shared" si="51"/>
        <v>14.486884954814458</v>
      </c>
      <c r="X60" s="68">
        <f t="shared" si="32"/>
        <v>0</v>
      </c>
      <c r="Z60" s="46">
        <v>495</v>
      </c>
      <c r="AA60" s="98">
        <f t="shared" si="37"/>
        <v>32.799999999999997</v>
      </c>
      <c r="AB60" s="98">
        <v>40.799999999999997</v>
      </c>
      <c r="AC60" s="75">
        <f t="shared" si="38"/>
        <v>40.799999999999997</v>
      </c>
    </row>
    <row r="61" spans="1:29" x14ac:dyDescent="0.3">
      <c r="A61">
        <v>1480</v>
      </c>
      <c r="B61" s="50">
        <v>2000</v>
      </c>
      <c r="C61" s="65">
        <v>40</v>
      </c>
      <c r="D61" s="27">
        <f t="shared" si="39"/>
        <v>565</v>
      </c>
      <c r="E61" s="23">
        <f>F$5^Konstanten!$E$5*$A61*$D61^Konstanten!$F$5*F$4^Konstanten!$G$5*E$5^Konstanten!$H$5*(Konstanten!$C$5-F$4^Konstanten!$I$5*Konstanten!$D$5)</f>
        <v>2063.7566828863505</v>
      </c>
      <c r="F61" s="28">
        <f>Konstanten!$C$24*(((($E$3+$F$3)*Konstanten!$I$24+$G$3)/(Konstanten!$I$24+2))^Konstanten!$D$24*$D61^Konstanten!$E$24*ABS($F$4)^Konstanten!$F$24+Konstanten!$H$24*($D61*$A61)^Konstanten!$G$24)</f>
        <v>40.754909798719154</v>
      </c>
      <c r="G61" s="37">
        <f>3.6*E61/(F$4*Konstanten!$K$3)</f>
        <v>177.43276925235122</v>
      </c>
      <c r="H61" s="43">
        <f t="shared" si="48"/>
        <v>5.3002543794529871</v>
      </c>
      <c r="I61" s="23">
        <f>J$5^Konstanten!$E$5*$A61*$D61^Konstanten!$F$5*J$4^Konstanten!$G$5*I$5^Konstanten!$H$5*(Konstanten!$C$5-J$4^Konstanten!$I$5*Konstanten!$D$5)</f>
        <v>1679.8715755563348</v>
      </c>
      <c r="J61" s="28">
        <f>Konstanten!$C$24*(((($I$3+$J$3)*Konstanten!$I$24+$K$3)/(Konstanten!$I$24+2))^Konstanten!$D$24*$D61^Konstanten!$E$24*ABS($J$4)^Konstanten!$F$24+Konstanten!$H$24*($D61*$A61)^Konstanten!$G$24)</f>
        <v>38.327697686569849</v>
      </c>
      <c r="K61" s="37">
        <f>3.6*I61/(J$4*Konstanten!$K$3)</f>
        <v>96.285338322087142</v>
      </c>
      <c r="L61" s="43">
        <f t="shared" si="49"/>
        <v>1.8030225550970829</v>
      </c>
      <c r="M61" s="23">
        <f>IF(M$7="trocken",N61,IF(Konstanten!$A$18*(N$6^Konstanten!$B$18*N$5^Konstanten!$C$18*N61^Konstanten!$D$18*M$5^Konstanten!$E$18+N$4^Konstanten!$F$18)&lt;1,N61,N61*Konstanten!$A$18*(N$6^Konstanten!$B$18*N$5^Konstanten!$C$18*N61^Konstanten!$D$18*M$5^Konstanten!$E$18+N$4^Konstanten!$F$18)))</f>
        <v>987.85473981651796</v>
      </c>
      <c r="N61" s="23">
        <f>N$5^Konstanten!$E$7*$A61*$D61^Konstanten!$F$7*N$4^Konstanten!$G$7*M$5^Konstanten!$H$7*(Konstanten!$C$7-N$4^Konstanten!$I$7*Konstanten!$D$7)</f>
        <v>786.76667509555477</v>
      </c>
      <c r="O61" s="28">
        <f>Konstanten!$C$26*(((($M$3+$N$3)*Konstanten!$I$26+$O$3)/(Konstanten!$I$26+2))^Konstanten!$D$26*$D61^Konstanten!$E$26*ABS($N$4)^Konstanten!$F$26+Konstanten!$H$26*($D61*$A61)^Konstanten!$G$26)</f>
        <v>13.696023885011753</v>
      </c>
      <c r="P61" s="37">
        <f>3.6*M61/(N$4*Konstanten!$K$3)</f>
        <v>121.33061141654399</v>
      </c>
      <c r="Q61" s="43">
        <f t="shared" si="50"/>
        <v>4.1908309070454042</v>
      </c>
      <c r="R61" s="68">
        <f t="shared" si="31"/>
        <v>0.32074303632940515</v>
      </c>
      <c r="S61" s="23">
        <f>IF(S$7="trocken",T61,IF(Konstanten!$A$18*(V$3^Konstanten!$B$18*T$5^Konstanten!$C$18*T61^Konstanten!$D$18*S$5^Konstanten!$E$18+T$4^Konstanten!$F$18)&lt;1,T61,T61*Konstanten!$A$18*(T$6^Konstanten!$B$18*T$5^Konstanten!$C$18*T61^Konstanten!$D$18*S$5^Konstanten!$E$18+T$4^Konstanten!$F$18)))</f>
        <v>586.73525484067352</v>
      </c>
      <c r="T61" s="23">
        <f>T$5^Konstanten!$E$7*$A61*$D61^Konstanten!$F$7*T$4^Konstanten!$G$7*S$5^Konstanten!$H$7*(Konstanten!$C$7-T$4^Konstanten!$I$7*Konstanten!$D$7)</f>
        <v>586.73525484067352</v>
      </c>
      <c r="U61" s="28">
        <f>Konstanten!$C$26*(((($S$3+$T$3)*Konstanten!$I$26+$U$3)/(Konstanten!$I$26+2))^Konstanten!$D$26*$D61^Konstanten!$E$26*ABS($T$4)^Konstanten!$F$26+Konstanten!$H$26*($D61*$A61)^Konstanten!$G$26)</f>
        <v>17.883065372702045</v>
      </c>
      <c r="V61" s="37">
        <f>3.6*S61/(T$4*Konstanten!$K$3)</f>
        <v>252.22464922260838</v>
      </c>
      <c r="W61" s="43">
        <f t="shared" si="51"/>
        <v>5.4533909664756131</v>
      </c>
      <c r="X61" s="68">
        <f t="shared" si="32"/>
        <v>0</v>
      </c>
      <c r="Z61" s="46">
        <v>305</v>
      </c>
      <c r="AA61" s="98">
        <f t="shared" si="37"/>
        <v>20.7</v>
      </c>
      <c r="AB61" s="98">
        <v>28.7</v>
      </c>
      <c r="AC61" s="75">
        <f t="shared" si="38"/>
        <v>28.7</v>
      </c>
    </row>
    <row r="62" spans="1:29" x14ac:dyDescent="0.3">
      <c r="A62" s="22">
        <v>1480</v>
      </c>
      <c r="B62" s="51">
        <v>2000</v>
      </c>
      <c r="C62" s="66">
        <v>20</v>
      </c>
      <c r="D62" s="78">
        <f t="shared" si="39"/>
        <v>300</v>
      </c>
      <c r="E62" s="24">
        <f>F$5^Konstanten!$E$5*$A62*$D62^Konstanten!$F$5*F$4^Konstanten!$G$5*E$5^Konstanten!$H$5*(Konstanten!$C$5-F$4^Konstanten!$I$5*Konstanten!$D$5)</f>
        <v>1267.170527199936</v>
      </c>
      <c r="F62" s="29">
        <f>Konstanten!$C$24*(((($E$3+$F$3)*Konstanten!$I$24+$G$3)/(Konstanten!$I$24+2))^Konstanten!$D$24*$D62^Konstanten!$E$24*ABS($F$4)^Konstanten!$F$24+Konstanten!$H$24*($D62*$A62)^Konstanten!$G$24)</f>
        <v>47.751252861003266</v>
      </c>
      <c r="G62" s="38">
        <f>3.6*E62/(F$4*Konstanten!$K$3)</f>
        <v>108.94577719384574</v>
      </c>
      <c r="H62" s="44">
        <f t="shared" si="48"/>
        <v>2.2420236224251475</v>
      </c>
      <c r="I62" s="24">
        <f>J$5^Konstanten!$E$5*$A62*$D62^Konstanten!$F$5*J$4^Konstanten!$G$5*I$5^Konstanten!$H$5*(Konstanten!$C$5-J$4^Konstanten!$I$5*Konstanten!$D$5)</f>
        <v>1031.4606211468451</v>
      </c>
      <c r="J62" s="29">
        <f>Konstanten!$C$24*(((($I$3+$J$3)*Konstanten!$I$24+$K$3)/(Konstanten!$I$24+2))^Konstanten!$D$24*$D62^Konstanten!$E$24*ABS($J$4)^Konstanten!$F$24+Konstanten!$H$24*($D62*$A62)^Konstanten!$G$24)</f>
        <v>44.642486796889926</v>
      </c>
      <c r="K62" s="38">
        <f>3.6*I62/(J$4*Konstanten!$K$3)</f>
        <v>59.120313908605461</v>
      </c>
      <c r="L62" s="44">
        <f t="shared" si="49"/>
        <v>0.76268399040692858</v>
      </c>
      <c r="M62" s="24">
        <f>IF(M$7="trocken",N62,IF(Konstanten!$A$18*(N$6^Konstanten!$B$18*N$5^Konstanten!$C$18*N62^Konstanten!$D$18*M$5^Konstanten!$E$18+N$4^Konstanten!$F$18)&lt;1,N62,N62*Konstanten!$A$18*(N$6^Konstanten!$B$18*N$5^Konstanten!$C$18*N62^Konstanten!$D$18*M$5^Konstanten!$E$18+N$4^Konstanten!$F$18)))</f>
        <v>408.36533040507254</v>
      </c>
      <c r="N62" s="24">
        <f>N$5^Konstanten!$E$7*$A62*$D62^Konstanten!$F$7*N$4^Konstanten!$G$7*M$5^Konstanten!$H$7*(Konstanten!$C$7-N$4^Konstanten!$I$7*Konstanten!$D$7)</f>
        <v>316.48431555204246</v>
      </c>
      <c r="O62" s="29">
        <f>Konstanten!$C$26*(((($M$3+$N$3)*Konstanten!$I$26+$O$3)/(Konstanten!$I$26+2))^Konstanten!$D$26*$D62^Konstanten!$E$26*ABS($N$4)^Konstanten!$F$26+Konstanten!$H$26*($D62*$A62)^Konstanten!$G$26)</f>
        <v>12.38601123682837</v>
      </c>
      <c r="P62" s="38">
        <f>3.6*M62/(N$4*Konstanten!$K$3)</f>
        <v>50.15637747364481</v>
      </c>
      <c r="Q62" s="44">
        <f t="shared" si="50"/>
        <v>0.90226613011121704</v>
      </c>
      <c r="R62" s="69">
        <f t="shared" si="31"/>
        <v>0.14655367898578125</v>
      </c>
      <c r="S62" s="24">
        <f>IF(S$7="trocken",T62,IF(Konstanten!$A$18*(V$3^Konstanten!$B$18*T$5^Konstanten!$C$18*T62^Konstanten!$D$18*S$5^Konstanten!$E$18+T$4^Konstanten!$F$18)&lt;1,T62,T62*Konstanten!$A$18*(T$6^Konstanten!$B$18*T$5^Konstanten!$C$18*T62^Konstanten!$D$18*S$5^Konstanten!$E$18+T$4^Konstanten!$F$18)))</f>
        <v>236.01979013149091</v>
      </c>
      <c r="T62" s="24">
        <f>T$5^Konstanten!$E$7*$A62*$D62^Konstanten!$F$7*T$4^Konstanten!$G$7*S$5^Konstanten!$H$7*(Konstanten!$C$7-T$4^Konstanten!$I$7*Konstanten!$D$7)</f>
        <v>236.01979013149091</v>
      </c>
      <c r="U62" s="29">
        <f>Konstanten!$C$26*(((($S$3+$T$3)*Konstanten!$I$26+$U$3)/(Konstanten!$I$26+2))^Konstanten!$D$26*$D62^Konstanten!$E$26*ABS($T$4)^Konstanten!$F$26+Konstanten!$H$26*($D62*$A62)^Konstanten!$G$26)</f>
        <v>16.140685143745529</v>
      </c>
      <c r="V62" s="38">
        <f>3.6*S62/(T$4*Konstanten!$K$3)</f>
        <v>101.45974404022164</v>
      </c>
      <c r="W62" s="44">
        <f t="shared" si="51"/>
        <v>1.0921044982427031</v>
      </c>
      <c r="X62" s="69">
        <f t="shared" si="32"/>
        <v>0</v>
      </c>
      <c r="Z62" s="47">
        <v>115</v>
      </c>
      <c r="AA62" s="99">
        <f t="shared" si="37"/>
        <v>16.600000000000001</v>
      </c>
      <c r="AB62" s="99">
        <v>24.6</v>
      </c>
      <c r="AC62" s="75" t="str">
        <f t="shared" si="38"/>
        <v>&lt; 28 dB(A)</v>
      </c>
    </row>
    <row r="63" spans="1:29" x14ac:dyDescent="0.3">
      <c r="A63" s="32">
        <v>1890</v>
      </c>
      <c r="B63" s="49">
        <v>2500</v>
      </c>
      <c r="C63" s="64">
        <v>100</v>
      </c>
      <c r="D63" s="53">
        <f t="shared" si="39"/>
        <v>1350</v>
      </c>
      <c r="E63" s="33">
        <f>F$5^Konstanten!$E$5*$A63*$D63^Konstanten!$F$5*F$4^Konstanten!$G$5*E$5^Konstanten!$H$5*(Konstanten!$C$5-F$4^Konstanten!$I$5*Konstanten!$D$5)</f>
        <v>5156.0420514279522</v>
      </c>
      <c r="F63" s="34">
        <f>Konstanten!$C$24*(((($E$3+$F$3)*Konstanten!$I$24+$G$3)/(Konstanten!$I$24+2))^Konstanten!$D$24*$D63^Konstanten!$E$24*ABS($F$4)^Konstanten!$F$24+Konstanten!$H$24*($D63*$A63)^Konstanten!$G$24)</f>
        <v>34.749062908257486</v>
      </c>
      <c r="G63" s="36">
        <f>3.6*E63/(F$4*Konstanten!$K$3)</f>
        <v>443.29393438325968</v>
      </c>
      <c r="H63" s="42">
        <f xml:space="preserve"> 0.00077444*G63^1.7521</f>
        <v>33.593593255092578</v>
      </c>
      <c r="I63" s="33">
        <f>J$5^Konstanten!$E$5*$A63*$D63^Konstanten!$F$5*J$4^Konstanten!$G$5*I$5^Konstanten!$H$5*(Konstanten!$C$5-J$4^Konstanten!$I$5*Konstanten!$D$5)</f>
        <v>4196.9523618710282</v>
      </c>
      <c r="J63" s="34">
        <f>Konstanten!$C$24*(((($I$3+$J$3)*Konstanten!$I$24+$K$3)/(Konstanten!$I$24+2))^Konstanten!$D$24*$D63^Konstanten!$E$24*ABS($J$4)^Konstanten!$F$24+Konstanten!$H$24*($D63*$A63)^Konstanten!$G$24)</f>
        <v>33.02234859471946</v>
      </c>
      <c r="K63" s="36">
        <f>3.6*I63/(J$4*Konstanten!$K$3)</f>
        <v>240.55706636419777</v>
      </c>
      <c r="L63" s="42">
        <f xml:space="preserve"> 0.00077444*K63^1.7521</f>
        <v>11.511185228532067</v>
      </c>
      <c r="M63" s="33">
        <f>IF(M$7="trocken",N63,IF(Konstanten!$A$18*(N$6^Konstanten!$B$18*N$5^Konstanten!$C$18*N63^Konstanten!$D$18*M$5^Konstanten!$E$18+N$4^Konstanten!$F$18)&lt;1,N63,N63*Konstanten!$A$18*(N$6^Konstanten!$B$18*N$5^Konstanten!$C$18*N63^Konstanten!$D$18*M$5^Konstanten!$E$18+N$4^Konstanten!$F$18)))</f>
        <v>4222.9026740884665</v>
      </c>
      <c r="N63" s="33">
        <f>N$5^Konstanten!$E$7*$A63*$D63^Konstanten!$F$7*N$4^Konstanten!$G$7*M$5^Konstanten!$H$7*(Konstanten!$C$7-N$4^Konstanten!$I$7*Konstanten!$D$7)</f>
        <v>3517.4230910694946</v>
      </c>
      <c r="O63" s="34">
        <f>Konstanten!$C$26*(((($M$3+$N$3)*Konstanten!$I$26+$O$3)/(Konstanten!$I$26+2))^Konstanten!$D$26*$D63^Konstanten!$E$26*ABS($N$4)^Konstanten!$F$26+Konstanten!$H$26*($D63*$A63)^Konstanten!$G$26)</f>
        <v>15.775420886421148</v>
      </c>
      <c r="P63" s="36">
        <f>3.6*M63/(N$4*Konstanten!$K$3)</f>
        <v>518.66670548635341</v>
      </c>
      <c r="Q63" s="42">
        <f>0.00099843*P63^1.7385</f>
        <v>52.378258401978613</v>
      </c>
      <c r="R63" s="67">
        <f t="shared" si="31"/>
        <v>1.1252665037077088</v>
      </c>
      <c r="S63" s="33">
        <f>IF(S$7="trocken",T63,IF(Konstanten!$A$18*(V$3^Konstanten!$B$18*T$5^Konstanten!$C$18*T63^Konstanten!$D$18*S$5^Konstanten!$E$18+T$4^Konstanten!$F$18)&lt;1,T63,T63*Konstanten!$A$18*(T$6^Konstanten!$B$18*T$5^Konstanten!$C$18*T63^Konstanten!$D$18*S$5^Konstanten!$E$18+T$4^Konstanten!$F$18)))</f>
        <v>2623.1361838889234</v>
      </c>
      <c r="T63" s="33">
        <f>T$5^Konstanten!$E$7*$A63*$D63^Konstanten!$F$7*T$4^Konstanten!$G$7*S$5^Konstanten!$H$7*(Konstanten!$C$7-T$4^Konstanten!$I$7*Konstanten!$D$7)</f>
        <v>2623.1361838889234</v>
      </c>
      <c r="U63" s="34">
        <f>Konstanten!$C$26*(((($S$3+$T$3)*Konstanten!$I$26+$U$3)/(Konstanten!$I$26+2))^Konstanten!$D$26*$D63^Konstanten!$E$26*ABS($T$4)^Konstanten!$F$26+Konstanten!$H$26*($D63*$A63)^Konstanten!$G$26)</f>
        <v>20.639916125446334</v>
      </c>
      <c r="V63" s="36">
        <f>3.6*S63/(T$4*Konstanten!$K$3)</f>
        <v>1127.6288554097134</v>
      </c>
      <c r="W63" s="42">
        <f>0.000092533*V63^1.8158</f>
        <v>32.241852995912595</v>
      </c>
      <c r="X63" s="67">
        <f t="shared" si="32"/>
        <v>0</v>
      </c>
      <c r="Z63" s="45">
        <v>1105</v>
      </c>
      <c r="AA63" s="100">
        <f t="shared" si="37"/>
        <v>49.9</v>
      </c>
      <c r="AB63" s="100">
        <v>57.9</v>
      </c>
      <c r="AC63" s="75">
        <f t="shared" si="38"/>
        <v>57.9</v>
      </c>
    </row>
    <row r="64" spans="1:29" x14ac:dyDescent="0.3">
      <c r="A64">
        <v>1890</v>
      </c>
      <c r="B64" s="50">
        <v>2500</v>
      </c>
      <c r="C64" s="65">
        <v>80</v>
      </c>
      <c r="D64" s="27">
        <f t="shared" si="39"/>
        <v>1090</v>
      </c>
      <c r="E64" s="23">
        <f>F$5^Konstanten!$E$5*$A64*$D64^Konstanten!$F$5*F$4^Konstanten!$G$5*E$5^Konstanten!$H$5*(Konstanten!$C$5-F$4^Konstanten!$I$5*Konstanten!$D$5)</f>
        <v>4372.54304007467</v>
      </c>
      <c r="F64" s="28">
        <f>Konstanten!$C$24*(((($E$3+$F$3)*Konstanten!$I$24+$G$3)/(Konstanten!$I$24+2))^Konstanten!$D$24*$D64^Konstanten!$E$24*ABS($F$4)^Konstanten!$F$24+Konstanten!$H$24*($D64*$A64)^Konstanten!$G$24)</f>
        <v>36.060886143777601</v>
      </c>
      <c r="G64" s="37">
        <f>3.6*E64/(F$4*Konstanten!$K$3)</f>
        <v>375.93211772933978</v>
      </c>
      <c r="H64" s="43">
        <f t="shared" ref="H64:H67" si="52" xml:space="preserve"> 0.00077444*G64^1.7521</f>
        <v>25.167322291961469</v>
      </c>
      <c r="I64" s="23">
        <f>J$5^Konstanten!$E$5*$A64*$D64^Konstanten!$F$5*J$4^Konstanten!$G$5*I$5^Konstanten!$H$5*(Konstanten!$C$5-J$4^Konstanten!$I$5*Konstanten!$D$5)</f>
        <v>3559.1941757615728</v>
      </c>
      <c r="J64" s="28">
        <f>Konstanten!$C$24*(((($I$3+$J$3)*Konstanten!$I$24+$K$3)/(Konstanten!$I$24+2))^Konstanten!$D$24*$D64^Konstanten!$E$24*ABS($J$4)^Konstanten!$F$24+Konstanten!$H$24*($D64*$A64)^Konstanten!$G$24)</f>
        <v>34.183551258867013</v>
      </c>
      <c r="K64" s="37">
        <f>3.6*I64/(J$4*Konstanten!$K$3)</f>
        <v>204.00262755425894</v>
      </c>
      <c r="L64" s="43">
        <f t="shared" ref="L64:L67" si="53" xml:space="preserve"> 0.00077444*K64^1.7521</f>
        <v>8.6238380755835067</v>
      </c>
      <c r="M64" s="23">
        <f>IF(M$7="trocken",N64,IF(Konstanten!$A$18*(N$6^Konstanten!$B$18*N$5^Konstanten!$C$18*N64^Konstanten!$D$18*M$5^Konstanten!$E$18+N$4^Konstanten!$F$18)&lt;1,N64,N64*Konstanten!$A$18*(N$6^Konstanten!$B$18*N$5^Konstanten!$C$18*N64^Konstanten!$D$18*M$5^Konstanten!$E$18+N$4^Konstanten!$F$18)))</f>
        <v>3132.9733889638155</v>
      </c>
      <c r="N64" s="23">
        <f>N$5^Konstanten!$E$7*$A64*$D64^Konstanten!$F$7*N$4^Konstanten!$G$7*M$5^Konstanten!$H$7*(Konstanten!$C$7-N$4^Konstanten!$I$7*Konstanten!$D$7)</f>
        <v>2585.6741004612104</v>
      </c>
      <c r="O64" s="28">
        <f>Konstanten!$C$26*(((($M$3+$N$3)*Konstanten!$I$26+$O$3)/(Konstanten!$I$26+2))^Konstanten!$D$26*$D64^Konstanten!$E$26*ABS($N$4)^Konstanten!$F$26+Konstanten!$H$26*($D64*$A64)^Konstanten!$G$26)</f>
        <v>15.225654825026236</v>
      </c>
      <c r="P64" s="37">
        <f>3.6*M64/(N$4*Konstanten!$K$3)</f>
        <v>384.79906155569523</v>
      </c>
      <c r="Q64" s="43">
        <f t="shared" ref="Q64:Q67" si="54">0.00099843*P64^1.7385</f>
        <v>31.170727478389246</v>
      </c>
      <c r="R64" s="68">
        <f t="shared" si="31"/>
        <v>0.87296297678749601</v>
      </c>
      <c r="S64" s="23">
        <f>IF(S$7="trocken",T64,IF(Konstanten!$A$18*(V$3^Konstanten!$B$18*T$5^Konstanten!$C$18*T64^Konstanten!$D$18*S$5^Konstanten!$E$18+T$4^Konstanten!$F$18)&lt;1,T64,T64*Konstanten!$A$18*(T$6^Konstanten!$B$18*T$5^Konstanten!$C$18*T64^Konstanten!$D$18*S$5^Konstanten!$E$18+T$4^Konstanten!$F$18)))</f>
        <v>1928.2796288808004</v>
      </c>
      <c r="T64" s="23">
        <f>T$5^Konstanten!$E$7*$A64*$D64^Konstanten!$F$7*T$4^Konstanten!$G$7*S$5^Konstanten!$H$7*(Konstanten!$C$7-T$4^Konstanten!$I$7*Konstanten!$D$7)</f>
        <v>1928.2796288808004</v>
      </c>
      <c r="U64" s="28">
        <f>Konstanten!$C$26*(((($S$3+$T$3)*Konstanten!$I$26+$U$3)/(Konstanten!$I$26+2))^Konstanten!$D$26*$D64^Konstanten!$E$26*ABS($T$4)^Konstanten!$F$26+Konstanten!$H$26*($D64*$A64)^Konstanten!$G$26)</f>
        <v>19.914238371727706</v>
      </c>
      <c r="V64" s="37">
        <f>3.6*S64/(T$4*Konstanten!$K$3)</f>
        <v>828.92522476705631</v>
      </c>
      <c r="W64" s="43">
        <f t="shared" ref="W64:W67" si="55">0.000092533*V64^1.8158</f>
        <v>18.438977123760143</v>
      </c>
      <c r="X64" s="68">
        <f t="shared" si="32"/>
        <v>0</v>
      </c>
      <c r="Z64" s="46">
        <v>865</v>
      </c>
      <c r="AA64" s="98">
        <f t="shared" si="37"/>
        <v>42.8</v>
      </c>
      <c r="AB64" s="98">
        <v>50.8</v>
      </c>
      <c r="AC64" s="75">
        <f t="shared" si="38"/>
        <v>50.8</v>
      </c>
    </row>
    <row r="65" spans="1:29" x14ac:dyDescent="0.3">
      <c r="A65">
        <v>1890</v>
      </c>
      <c r="B65" s="50">
        <v>2500</v>
      </c>
      <c r="C65" s="65">
        <v>60</v>
      </c>
      <c r="D65" s="27">
        <f t="shared" si="39"/>
        <v>830</v>
      </c>
      <c r="E65" s="23">
        <f>F$5^Konstanten!$E$5*$A65*$D65^Konstanten!$F$5*F$4^Konstanten!$G$5*E$5^Konstanten!$H$5*(Konstanten!$C$5-F$4^Konstanten!$I$5*Konstanten!$D$5)</f>
        <v>3544.4599922706002</v>
      </c>
      <c r="F65" s="28">
        <f>Konstanten!$C$24*(((($E$3+$F$3)*Konstanten!$I$24+$G$3)/(Konstanten!$I$24+2))^Konstanten!$D$24*$D65^Konstanten!$E$24*ABS($F$4)^Konstanten!$F$24+Konstanten!$H$24*($D65*$A65)^Konstanten!$G$24)</f>
        <v>37.986635408719586</v>
      </c>
      <c r="G65" s="37">
        <f>3.6*E65/(F$4*Konstanten!$K$3)</f>
        <v>304.73716070693069</v>
      </c>
      <c r="H65" s="43">
        <f t="shared" si="52"/>
        <v>17.421016781783202</v>
      </c>
      <c r="I65" s="23">
        <f>J$5^Konstanten!$E$5*$A65*$D65^Konstanten!$F$5*J$4^Konstanten!$G$5*I$5^Konstanten!$H$5*(Konstanten!$C$5-J$4^Konstanten!$I$5*Konstanten!$D$5)</f>
        <v>2885.1451535383844</v>
      </c>
      <c r="J65" s="28">
        <f>Konstanten!$C$24*(((($I$3+$J$3)*Konstanten!$I$24+$K$3)/(Konstanten!$I$24+2))^Konstanten!$D$24*$D65^Konstanten!$E$24*ABS($J$4)^Konstanten!$F$24+Konstanten!$H$24*($D65*$A65)^Konstanten!$G$24)</f>
        <v>35.898257962302168</v>
      </c>
      <c r="K65" s="37">
        <f>3.6*I65/(J$4*Konstanten!$K$3)</f>
        <v>165.3681038830444</v>
      </c>
      <c r="L65" s="43">
        <f t="shared" si="53"/>
        <v>5.9694879771181357</v>
      </c>
      <c r="M65" s="23">
        <f>IF(M$7="trocken",N65,IF(Konstanten!$A$18*(N$6^Konstanten!$B$18*N$5^Konstanten!$C$18*N65^Konstanten!$D$18*M$5^Konstanten!$E$18+N$4^Konstanten!$F$18)&lt;1,N65,N65*Konstanten!$A$18*(N$6^Konstanten!$B$18*N$5^Konstanten!$C$18*N65^Konstanten!$D$18*M$5^Konstanten!$E$18+N$4^Konstanten!$F$18)))</f>
        <v>2141.9070204033442</v>
      </c>
      <c r="N65" s="23">
        <f>N$5^Konstanten!$E$7*$A65*$D65^Konstanten!$F$7*N$4^Konstanten!$G$7*M$5^Konstanten!$H$7*(Konstanten!$C$7-N$4^Konstanten!$I$7*Konstanten!$D$7)</f>
        <v>1747.1285876418426</v>
      </c>
      <c r="O65" s="28">
        <f>Konstanten!$C$26*(((($M$3+$N$3)*Konstanten!$I$26+$O$3)/(Konstanten!$I$26+2))^Konstanten!$D$26*$D65^Konstanten!$E$26*ABS($N$4)^Konstanten!$F$26+Konstanten!$H$26*($D65*$A65)^Konstanten!$G$26)</f>
        <v>14.556906585036121</v>
      </c>
      <c r="P65" s="37">
        <f>3.6*M65/(N$4*Konstanten!$K$3)</f>
        <v>263.07399044437955</v>
      </c>
      <c r="Q65" s="43">
        <f t="shared" si="54"/>
        <v>16.092483505468554</v>
      </c>
      <c r="R65" s="68">
        <f t="shared" si="31"/>
        <v>0.62968646785175253</v>
      </c>
      <c r="S65" s="23">
        <f>IF(S$7="trocken",T65,IF(Konstanten!$A$18*(V$3^Konstanten!$B$18*T$5^Konstanten!$C$18*T65^Konstanten!$D$18*S$5^Konstanten!$E$18+T$4^Konstanten!$F$18)&lt;1,T65,T65*Konstanten!$A$18*(T$6^Konstanten!$B$18*T$5^Konstanten!$C$18*T65^Konstanten!$D$18*S$5^Konstanten!$E$18+T$4^Konstanten!$F$18)))</f>
        <v>1302.9300421055091</v>
      </c>
      <c r="T65" s="23">
        <f>T$5^Konstanten!$E$7*$A65*$D65^Konstanten!$F$7*T$4^Konstanten!$G$7*S$5^Konstanten!$H$7*(Konstanten!$C$7-T$4^Konstanten!$I$7*Konstanten!$D$7)</f>
        <v>1302.9300421055091</v>
      </c>
      <c r="U65" s="28">
        <f>Konstanten!$C$26*(((($S$3+$T$3)*Konstanten!$I$26+$U$3)/(Konstanten!$I$26+2))^Konstanten!$D$26*$D65^Konstanten!$E$26*ABS($T$4)^Konstanten!$F$26+Konstanten!$H$26*($D65*$A65)^Konstanten!$G$26)</f>
        <v>19.030590119717861</v>
      </c>
      <c r="V65" s="37">
        <f>3.6*S65/(T$4*Konstanten!$K$3)</f>
        <v>560.10111906587133</v>
      </c>
      <c r="W65" s="43">
        <f t="shared" si="55"/>
        <v>9.0489636790786285</v>
      </c>
      <c r="X65" s="68">
        <f t="shared" si="32"/>
        <v>0</v>
      </c>
      <c r="Z65" s="46">
        <v>630</v>
      </c>
      <c r="AA65" s="98">
        <f t="shared" si="37"/>
        <v>33.9</v>
      </c>
      <c r="AB65" s="98">
        <v>41.9</v>
      </c>
      <c r="AC65" s="75">
        <f t="shared" si="38"/>
        <v>41.9</v>
      </c>
    </row>
    <row r="66" spans="1:29" x14ac:dyDescent="0.3">
      <c r="A66">
        <v>1890</v>
      </c>
      <c r="B66" s="50">
        <v>2500</v>
      </c>
      <c r="C66" s="65">
        <v>40</v>
      </c>
      <c r="D66" s="27">
        <f t="shared" si="39"/>
        <v>565</v>
      </c>
      <c r="E66" s="23">
        <f>F$5^Konstanten!$E$5*$A66*$D66^Konstanten!$F$5*F$4^Konstanten!$G$5*E$5^Konstanten!$H$5*(Konstanten!$C$5-F$4^Konstanten!$I$5*Konstanten!$D$5)</f>
        <v>2635.473061253515</v>
      </c>
      <c r="F66" s="28">
        <f>Konstanten!$C$24*(((($E$3+$F$3)*Konstanten!$I$24+$G$3)/(Konstanten!$I$24+2))^Konstanten!$D$24*$D66^Konstanten!$E$24*ABS($F$4)^Konstanten!$F$24+Konstanten!$H$24*($D66*$A66)^Konstanten!$G$24)</f>
        <v>41.240845031186758</v>
      </c>
      <c r="G66" s="37">
        <f>3.6*E66/(F$4*Konstanten!$K$3)</f>
        <v>226.58644181550255</v>
      </c>
      <c r="H66" s="43">
        <f t="shared" si="52"/>
        <v>10.365568518201995</v>
      </c>
      <c r="I66" s="23">
        <f>J$5^Konstanten!$E$5*$A66*$D66^Konstanten!$F$5*J$4^Konstanten!$G$5*I$5^Konstanten!$H$5*(Konstanten!$C$5-J$4^Konstanten!$I$5*Konstanten!$D$5)</f>
        <v>2145.2414039199139</v>
      </c>
      <c r="J66" s="28">
        <f>Konstanten!$C$24*(((($I$3+$J$3)*Konstanten!$I$24+$K$3)/(Konstanten!$I$24+2))^Konstanten!$D$24*$D66^Konstanten!$E$24*ABS($J$4)^Konstanten!$F$24+Konstanten!$H$24*($D66*$A66)^Konstanten!$G$24)</f>
        <v>38.813632919037452</v>
      </c>
      <c r="K66" s="37">
        <f>3.6*I66/(J$4*Konstanten!$K$3)</f>
        <v>122.95897934374642</v>
      </c>
      <c r="L66" s="43">
        <f t="shared" si="53"/>
        <v>3.5518671166257474</v>
      </c>
      <c r="M66" s="23">
        <f>IF(M$7="trocken",N66,IF(Konstanten!$A$18*(N$6^Konstanten!$B$18*N$5^Konstanten!$C$18*N66^Konstanten!$D$18*M$5^Konstanten!$E$18+N$4^Konstanten!$F$18)&lt;1,N66,N66*Konstanten!$A$18*(N$6^Konstanten!$B$18*N$5^Konstanten!$C$18*N66^Konstanten!$D$18*M$5^Konstanten!$E$18+N$4^Konstanten!$F$18)))</f>
        <v>1252.314053358049</v>
      </c>
      <c r="N66" s="23">
        <f>N$5^Konstanten!$E$7*$A66*$D66^Konstanten!$F$7*N$4^Konstanten!$G$7*M$5^Konstanten!$H$7*(Konstanten!$C$7-N$4^Konstanten!$I$7*Konstanten!$D$7)</f>
        <v>1004.7223080612152</v>
      </c>
      <c r="O66" s="28">
        <f>Konstanten!$C$26*(((($M$3+$N$3)*Konstanten!$I$26+$O$3)/(Konstanten!$I$26+2))^Konstanten!$D$26*$D66^Konstanten!$E$26*ABS($N$4)^Konstanten!$F$26+Konstanten!$H$26*($D66*$A66)^Konstanten!$G$26)</f>
        <v>13.671040907580307</v>
      </c>
      <c r="P66" s="37">
        <f>3.6*M66/(N$4*Konstanten!$K$3)</f>
        <v>153.81211797160012</v>
      </c>
      <c r="Q66" s="43">
        <f t="shared" si="54"/>
        <v>6.3299560866947999</v>
      </c>
      <c r="R66" s="68">
        <f t="shared" si="31"/>
        <v>0.39491815820496307</v>
      </c>
      <c r="S66" s="23">
        <f>IF(S$7="trocken",T66,IF(Konstanten!$A$18*(V$3^Konstanten!$B$18*T$5^Konstanten!$C$18*T66^Konstanten!$D$18*S$5^Konstanten!$E$18+T$4^Konstanten!$F$18)&lt;1,T66,T66*Konstanten!$A$18*(T$6^Konstanten!$B$18*T$5^Konstanten!$C$18*T66^Konstanten!$D$18*S$5^Konstanten!$E$18+T$4^Konstanten!$F$18)))</f>
        <v>749.27677814113042</v>
      </c>
      <c r="T66" s="23">
        <f>T$5^Konstanten!$E$7*$A66*$D66^Konstanten!$F$7*T$4^Konstanten!$G$7*S$5^Konstanten!$H$7*(Konstanten!$C$7-T$4^Konstanten!$I$7*Konstanten!$D$7)</f>
        <v>749.27677814113042</v>
      </c>
      <c r="U66" s="28">
        <f>Konstanten!$C$26*(((($S$3+$T$3)*Konstanten!$I$26+$U$3)/(Konstanten!$I$26+2))^Konstanten!$D$26*$D66^Konstanten!$E$26*ABS($T$4)^Konstanten!$F$26+Konstanten!$H$26*($D66*$A66)^Konstanten!$G$26)</f>
        <v>17.8580823952706</v>
      </c>
      <c r="V66" s="37">
        <f>3.6*S66/(T$4*Konstanten!$K$3)</f>
        <v>322.09769393968236</v>
      </c>
      <c r="W66" s="43">
        <f t="shared" si="55"/>
        <v>3.3136036109709672</v>
      </c>
      <c r="X66" s="68">
        <f t="shared" si="32"/>
        <v>0</v>
      </c>
      <c r="Z66" s="46">
        <v>390</v>
      </c>
      <c r="AA66" s="98">
        <f t="shared" si="37"/>
        <v>23.8</v>
      </c>
      <c r="AB66" s="98">
        <v>31.8</v>
      </c>
      <c r="AC66" s="75">
        <f t="shared" si="38"/>
        <v>31.8</v>
      </c>
    </row>
    <row r="67" spans="1:29" x14ac:dyDescent="0.3">
      <c r="A67" s="22">
        <v>1890</v>
      </c>
      <c r="B67" s="51">
        <v>2500</v>
      </c>
      <c r="C67" s="66">
        <v>20</v>
      </c>
      <c r="D67" s="78">
        <f t="shared" si="39"/>
        <v>300</v>
      </c>
      <c r="E67" s="24">
        <f>F$5^Konstanten!$E$5*$A67*$D67^Konstanten!$F$5*F$4^Konstanten!$G$5*E$5^Konstanten!$H$5*(Konstanten!$C$5-F$4^Konstanten!$I$5*Konstanten!$D$5)</f>
        <v>1618.2110110864046</v>
      </c>
      <c r="F67" s="29">
        <f>Konstanten!$C$24*(((($E$3+$F$3)*Konstanten!$I$24+$G$3)/(Konstanten!$I$24+2))^Konstanten!$D$24*$D67^Konstanten!$E$24*ABS($F$4)^Konstanten!$F$24+Konstanten!$H$24*($D67*$A67)^Konstanten!$G$24)</f>
        <v>48.188497941138969</v>
      </c>
      <c r="G67" s="38">
        <f>3.6*E67/(F$4*Konstanten!$K$3)</f>
        <v>139.12670195700568</v>
      </c>
      <c r="H67" s="44">
        <f t="shared" si="52"/>
        <v>4.4101899587271127</v>
      </c>
      <c r="I67" s="24">
        <f>J$5^Konstanten!$E$5*$A67*$D67^Konstanten!$F$5*J$4^Konstanten!$G$5*I$5^Konstanten!$H$5*(Konstanten!$C$5-J$4^Konstanten!$I$5*Konstanten!$D$5)</f>
        <v>1317.2030905186061</v>
      </c>
      <c r="J67" s="29">
        <f>Konstanten!$C$24*(((($I$3+$J$3)*Konstanten!$I$24+$K$3)/(Konstanten!$I$24+2))^Konstanten!$D$24*$D67^Konstanten!$E$24*ABS($J$4)^Konstanten!$F$24+Konstanten!$H$24*($D67*$A67)^Konstanten!$G$24)</f>
        <v>45.079731877025623</v>
      </c>
      <c r="K67" s="38">
        <f>3.6*I67/(J$4*Konstanten!$K$3)</f>
        <v>75.498238707611009</v>
      </c>
      <c r="L67" s="44">
        <f t="shared" si="53"/>
        <v>1.5111962903886189</v>
      </c>
      <c r="M67" s="24">
        <f>IF(M$7="trocken",N67,IF(Konstanten!$A$18*(N$6^Konstanten!$B$18*N$5^Konstanten!$C$18*N67^Konstanten!$D$18*M$5^Konstanten!$E$18+N$4^Konstanten!$F$18)&lt;1,N67,N67*Konstanten!$A$18*(N$6^Konstanten!$B$18*N$5^Konstanten!$C$18*N67^Konstanten!$D$18*M$5^Konstanten!$E$18+N$4^Konstanten!$F$18)))</f>
        <v>517.68540356880294</v>
      </c>
      <c r="N67" s="24">
        <f>N$5^Konstanten!$E$7*$A67*$D67^Konstanten!$F$7*N$4^Konstanten!$G$7*M$5^Konstanten!$H$7*(Konstanten!$C$7-N$4^Konstanten!$I$7*Konstanten!$D$7)</f>
        <v>404.15902459010823</v>
      </c>
      <c r="O67" s="29">
        <f>Konstanten!$C$26*(((($M$3+$N$3)*Konstanten!$I$26+$O$3)/(Konstanten!$I$26+2))^Konstanten!$D$26*$D67^Konstanten!$E$26*ABS($N$4)^Konstanten!$F$26+Konstanten!$H$26*($D67*$A67)^Konstanten!$G$26)</f>
        <v>12.353328091411466</v>
      </c>
      <c r="P67" s="38">
        <f>3.6*M67/(N$4*Konstanten!$K$3)</f>
        <v>63.583322531903406</v>
      </c>
      <c r="Q67" s="44">
        <f t="shared" si="54"/>
        <v>1.3627927252155885</v>
      </c>
      <c r="R67" s="69">
        <f t="shared" si="31"/>
        <v>0.18107884994386395</v>
      </c>
      <c r="S67" s="24">
        <f>IF(S$7="trocken",T67,IF(Konstanten!$A$18*(V$3^Konstanten!$B$18*T$5^Konstanten!$C$18*T67^Konstanten!$D$18*S$5^Konstanten!$E$18+T$4^Konstanten!$F$18)&lt;1,T67,T67*Konstanten!$A$18*(T$6^Konstanten!$B$18*T$5^Konstanten!$C$18*T67^Konstanten!$D$18*S$5^Konstanten!$E$18+T$4^Konstanten!$F$18)))</f>
        <v>301.40365091116075</v>
      </c>
      <c r="T67" s="24">
        <f>T$5^Konstanten!$E$7*$A67*$D67^Konstanten!$F$7*T$4^Konstanten!$G$7*S$5^Konstanten!$H$7*(Konstanten!$C$7-T$4^Konstanten!$I$7*Konstanten!$D$7)</f>
        <v>301.40365091116075</v>
      </c>
      <c r="U67" s="29">
        <f>Konstanten!$C$26*(((($S$3+$T$3)*Konstanten!$I$26+$U$3)/(Konstanten!$I$26+2))^Konstanten!$D$26*$D67^Konstanten!$E$26*ABS($T$4)^Konstanten!$F$26+Konstanten!$H$26*($D67*$A67)^Konstanten!$G$26)</f>
        <v>16.108001998328625</v>
      </c>
      <c r="V67" s="38">
        <f>3.6*S67/(T$4*Konstanten!$K$3)</f>
        <v>129.56683529460739</v>
      </c>
      <c r="W67" s="44">
        <f t="shared" si="55"/>
        <v>0.63410762789021624</v>
      </c>
      <c r="X67" s="69">
        <f t="shared" si="32"/>
        <v>0</v>
      </c>
      <c r="Z67" s="47">
        <v>150</v>
      </c>
      <c r="AA67" s="99">
        <f t="shared" si="37"/>
        <v>17.7</v>
      </c>
      <c r="AB67" s="99">
        <v>25.7</v>
      </c>
      <c r="AC67" s="75" t="str">
        <f t="shared" si="38"/>
        <v>&lt; 28 dB(A)</v>
      </c>
    </row>
    <row r="68" spans="1:29" x14ac:dyDescent="0.3">
      <c r="A68" s="32">
        <v>2520</v>
      </c>
      <c r="B68" s="49">
        <v>3000</v>
      </c>
      <c r="C68" s="64">
        <v>100</v>
      </c>
      <c r="D68" s="53">
        <f t="shared" si="39"/>
        <v>1350</v>
      </c>
      <c r="E68" s="33">
        <f>F$5^Konstanten!$E$5*$A68*$D68^Konstanten!$F$5*F$4^Konstanten!$G$5*E$5^Konstanten!$H$5*(Konstanten!$C$5-F$4^Konstanten!$I$5*Konstanten!$D$5)</f>
        <v>6874.7227352372693</v>
      </c>
      <c r="F68" s="34">
        <f>Konstanten!$C$24*(((($E$3+$F$3)*Konstanten!$I$24+$G$3)/(Konstanten!$I$24+2))^Konstanten!$D$24*$D68^Konstanten!$E$24*ABS($F$4)^Konstanten!$F$24+Konstanten!$H$24*($D68*$A68)^Konstanten!$G$24)</f>
        <v>35.440144373341681</v>
      </c>
      <c r="G68" s="36">
        <f>3.6*E68/(F$4*Konstanten!$K$3)</f>
        <v>591.05857917767958</v>
      </c>
      <c r="H68" s="42">
        <f xml:space="preserve"> 0.00095493*G68^1.7569</f>
        <v>70.704850368099059</v>
      </c>
      <c r="I68" s="33">
        <f>J$5^Konstanten!$E$5*$A68*$D68^Konstanten!$F$5*J$4^Konstanten!$G$5*I$5^Konstanten!$H$5*(Konstanten!$C$5-J$4^Konstanten!$I$5*Konstanten!$D$5)</f>
        <v>5595.9364824947052</v>
      </c>
      <c r="J68" s="34">
        <f>Konstanten!$C$24*(((($I$3+$J$3)*Konstanten!$I$24+$K$3)/(Konstanten!$I$24+2))^Konstanten!$D$24*$D68^Konstanten!$E$24*ABS($J$4)^Konstanten!$F$24+Konstanten!$H$24*($D68*$A68)^Konstanten!$G$24)</f>
        <v>33.713430059803663</v>
      </c>
      <c r="K68" s="36">
        <f>3.6*I68/(J$4*Konstanten!$K$3)</f>
        <v>320.74275515226373</v>
      </c>
      <c r="L68" s="42">
        <f xml:space="preserve"> 0.00095493*K68^1.7569</f>
        <v>24.156750658845521</v>
      </c>
      <c r="M68" s="33">
        <f>IF(M$7="trocken",N68,IF(Konstanten!$A$18*(N$6^Konstanten!$B$18*N$5^Konstanten!$C$18*N68^Konstanten!$D$18*M$5^Konstanten!$E$18+N$4^Konstanten!$F$18)&lt;1,N68,N68*Konstanten!$A$18*(N$6^Konstanten!$B$18*N$5^Konstanten!$C$18*N68^Konstanten!$D$18*M$5^Konstanten!$E$18+N$4^Konstanten!$F$18)))</f>
        <v>5582.3250587867469</v>
      </c>
      <c r="N68" s="33">
        <f>N$5^Konstanten!$E$7*$A68*$D68^Konstanten!$F$7*N$4^Konstanten!$G$7*M$5^Konstanten!$H$7*(Konstanten!$C$7-N$4^Konstanten!$I$7*Konstanten!$D$7)</f>
        <v>4689.897454759327</v>
      </c>
      <c r="O68" s="34">
        <f>Konstanten!$C$26*(((($M$3+$N$3)*Konstanten!$I$26+$O$3)/(Konstanten!$I$26+2))^Konstanten!$D$26*$D68^Konstanten!$E$26*ABS($N$4)^Konstanten!$F$26+Konstanten!$H$26*($D68*$A68)^Konstanten!$G$26)</f>
        <v>15.757278336798555</v>
      </c>
      <c r="P68" s="36">
        <f>3.6*M68/(N$4*Konstanten!$K$3)</f>
        <v>685.63411725320304</v>
      </c>
      <c r="Q68" s="42">
        <f>0.00099843*P68^1.7385</f>
        <v>85.087212080516096</v>
      </c>
      <c r="R68" s="67">
        <f t="shared" si="31"/>
        <v>1.4234556377929604</v>
      </c>
      <c r="S68" s="33">
        <f>IF(S$7="trocken",T68,IF(Konstanten!$A$18*(V$3^Konstanten!$B$18*T$5^Konstanten!$C$18*T68^Konstanten!$D$18*S$5^Konstanten!$E$18+T$4^Konstanten!$F$18)&lt;1,T68,T68*Konstanten!$A$18*(T$6^Konstanten!$B$18*T$5^Konstanten!$C$18*T68^Konstanten!$D$18*S$5^Konstanten!$E$18+T$4^Konstanten!$F$18)))</f>
        <v>3497.5149118518975</v>
      </c>
      <c r="T68" s="33">
        <f>T$5^Konstanten!$E$7*$A68*$D68^Konstanten!$F$7*T$4^Konstanten!$G$7*S$5^Konstanten!$H$7*(Konstanten!$C$7-T$4^Konstanten!$I$7*Konstanten!$D$7)</f>
        <v>3497.5149118518975</v>
      </c>
      <c r="U68" s="34">
        <f>Konstanten!$C$26*(((($S$3+$T$3)*Konstanten!$I$26+$U$3)/(Konstanten!$I$26+2))^Konstanten!$D$26*$D68^Konstanten!$E$26*ABS($T$4)^Konstanten!$F$26+Konstanten!$H$26*($D68*$A68)^Konstanten!$G$26)</f>
        <v>20.621773575823742</v>
      </c>
      <c r="V68" s="36">
        <f>3.6*S68/(T$4*Konstanten!$K$3)</f>
        <v>1503.5051405462846</v>
      </c>
      <c r="W68" s="42">
        <f>0.00013555*V68^1.7907</f>
        <v>66.273712179380624</v>
      </c>
      <c r="X68" s="67">
        <f t="shared" si="32"/>
        <v>0</v>
      </c>
      <c r="Z68" s="45">
        <v>1470</v>
      </c>
      <c r="AA68" s="100">
        <f t="shared" si="37"/>
        <v>51.3</v>
      </c>
      <c r="AB68" s="100">
        <v>59.3</v>
      </c>
      <c r="AC68" s="75">
        <f t="shared" si="38"/>
        <v>59.3</v>
      </c>
    </row>
    <row r="69" spans="1:29" x14ac:dyDescent="0.3">
      <c r="A69">
        <v>2520</v>
      </c>
      <c r="B69" s="50">
        <v>3000</v>
      </c>
      <c r="C69" s="65">
        <v>80</v>
      </c>
      <c r="D69" s="27">
        <f t="shared" si="39"/>
        <v>1090</v>
      </c>
      <c r="E69" s="23">
        <f>F$5^Konstanten!$E$5*$A69*$D69^Konstanten!$F$5*F$4^Konstanten!$G$5*E$5^Konstanten!$H$5*(Konstanten!$C$5-F$4^Konstanten!$I$5*Konstanten!$D$5)</f>
        <v>5830.057386766227</v>
      </c>
      <c r="F69" s="28">
        <f>Konstanten!$C$24*(((($E$3+$F$3)*Konstanten!$I$24+$G$3)/(Konstanten!$I$24+2))^Konstanten!$D$24*$D69^Konstanten!$E$24*ABS($F$4)^Konstanten!$F$24+Konstanten!$H$24*($D69*$A69)^Konstanten!$G$24)</f>
        <v>36.727744809396768</v>
      </c>
      <c r="G69" s="37">
        <f>3.6*E69/(F$4*Konstanten!$K$3)</f>
        <v>501.24282363911965</v>
      </c>
      <c r="H69" s="43">
        <f t="shared" ref="H69:H72" si="56" xml:space="preserve"> 0.00095493*G69^1.7569</f>
        <v>52.928082850640052</v>
      </c>
      <c r="I69" s="23">
        <f>J$5^Konstanten!$E$5*$A69*$D69^Konstanten!$F$5*J$4^Konstanten!$G$5*I$5^Konstanten!$H$5*(Konstanten!$C$5-J$4^Konstanten!$I$5*Konstanten!$D$5)</f>
        <v>4745.5922343487637</v>
      </c>
      <c r="J69" s="28">
        <f>Konstanten!$C$24*(((($I$3+$J$3)*Konstanten!$I$24+$K$3)/(Konstanten!$I$24+2))^Konstanten!$D$24*$D69^Konstanten!$E$24*ABS($J$4)^Konstanten!$F$24+Konstanten!$H$24*($D69*$A69)^Konstanten!$G$24)</f>
        <v>34.850409924486186</v>
      </c>
      <c r="K69" s="37">
        <f>3.6*I69/(J$4*Konstanten!$K$3)</f>
        <v>272.0035034056786</v>
      </c>
      <c r="L69" s="43">
        <f t="shared" ref="L69:L72" si="57" xml:space="preserve"> 0.00095493*K69^1.7569</f>
        <v>18.083207780190715</v>
      </c>
      <c r="M69" s="23">
        <f>IF(M$7="trocken",N69,IF(Konstanten!$A$18*(N$6^Konstanten!$B$18*N$5^Konstanten!$C$18*N69^Konstanten!$D$18*M$5^Konstanten!$E$18+N$4^Konstanten!$F$18)&lt;1,N69,N69*Konstanten!$A$18*(N$6^Konstanten!$B$18*N$5^Konstanten!$C$18*N69^Konstanten!$D$18*M$5^Konstanten!$E$18+N$4^Konstanten!$F$18)))</f>
        <v>4141.5170392722075</v>
      </c>
      <c r="N69" s="23">
        <f>N$5^Konstanten!$E$7*$A69*$D69^Konstanten!$F$7*N$4^Konstanten!$G$7*M$5^Konstanten!$H$7*(Konstanten!$C$7-N$4^Konstanten!$I$7*Konstanten!$D$7)</f>
        <v>3447.5654672816136</v>
      </c>
      <c r="O69" s="28">
        <f>Konstanten!$C$26*(((($M$3+$N$3)*Konstanten!$I$26+$O$3)/(Konstanten!$I$26+2))^Konstanten!$D$26*$D69^Konstanten!$E$26*ABS($N$4)^Konstanten!$F$26+Konstanten!$H$26*($D69*$A69)^Konstanten!$G$26)</f>
        <v>15.205788005295737</v>
      </c>
      <c r="P69" s="37">
        <f>3.6*M69/(N$4*Konstanten!$K$3)</f>
        <v>508.67073296653297</v>
      </c>
      <c r="Q69" s="43">
        <f t="shared" ref="Q69:Q72" si="58">0.00099843*P69^1.7385</f>
        <v>50.635827636391028</v>
      </c>
      <c r="R69" s="68">
        <f t="shared" si="31"/>
        <v>1.1068788919655022</v>
      </c>
      <c r="S69" s="23">
        <f>IF(S$7="trocken",T69,IF(Konstanten!$A$18*(V$3^Konstanten!$B$18*T$5^Konstanten!$C$18*T69^Konstanten!$D$18*S$5^Konstanten!$E$18+T$4^Konstanten!$F$18)&lt;1,T69,T69*Konstanten!$A$18*(T$6^Konstanten!$B$18*T$5^Konstanten!$C$18*T69^Konstanten!$D$18*S$5^Konstanten!$E$18+T$4^Konstanten!$F$18)))</f>
        <v>2571.0395051744008</v>
      </c>
      <c r="T69" s="23">
        <f>T$5^Konstanten!$E$7*$A69*$D69^Konstanten!$F$7*T$4^Konstanten!$G$7*S$5^Konstanten!$H$7*(Konstanten!$C$7-T$4^Konstanten!$I$7*Konstanten!$D$7)</f>
        <v>2571.0395051744008</v>
      </c>
      <c r="U69" s="28">
        <f>Konstanten!$C$26*(((($S$3+$T$3)*Konstanten!$I$26+$U$3)/(Konstanten!$I$26+2))^Konstanten!$D$26*$D69^Konstanten!$E$26*ABS($T$4)^Konstanten!$F$26+Konstanten!$H$26*($D69*$A69)^Konstanten!$G$26)</f>
        <v>19.894371551997207</v>
      </c>
      <c r="V69" s="37">
        <f>3.6*S69/(T$4*Konstanten!$K$3)</f>
        <v>1105.233633022742</v>
      </c>
      <c r="W69" s="43">
        <f t="shared" ref="W69:W72" si="59">0.00013555*V69^1.7907</f>
        <v>38.195549734171685</v>
      </c>
      <c r="X69" s="68">
        <f t="shared" si="32"/>
        <v>0</v>
      </c>
      <c r="Z69" s="46">
        <v>1155</v>
      </c>
      <c r="AA69" s="98">
        <f t="shared" si="37"/>
        <v>44.2</v>
      </c>
      <c r="AB69" s="98">
        <v>52.2</v>
      </c>
      <c r="AC69" s="75">
        <f t="shared" si="38"/>
        <v>52.2</v>
      </c>
    </row>
    <row r="70" spans="1:29" x14ac:dyDescent="0.3">
      <c r="A70">
        <v>2520</v>
      </c>
      <c r="B70" s="50">
        <v>3000</v>
      </c>
      <c r="C70" s="65">
        <v>60</v>
      </c>
      <c r="D70" s="27">
        <f t="shared" si="39"/>
        <v>830</v>
      </c>
      <c r="E70" s="23">
        <f>F$5^Konstanten!$E$5*$A70*$D70^Konstanten!$F$5*F$4^Konstanten!$G$5*E$5^Konstanten!$H$5*(Konstanten!$C$5-F$4^Konstanten!$I$5*Konstanten!$D$5)</f>
        <v>4725.9466563608012</v>
      </c>
      <c r="F70" s="28">
        <f>Konstanten!$C$24*(((($E$3+$F$3)*Konstanten!$I$24+$G$3)/(Konstanten!$I$24+2))^Konstanten!$D$24*$D70^Konstanten!$E$24*ABS($F$4)^Konstanten!$F$24+Konstanten!$H$24*($D70*$A70)^Konstanten!$G$24)</f>
        <v>38.623863889994112</v>
      </c>
      <c r="G70" s="37">
        <f>3.6*E70/(F$4*Konstanten!$K$3)</f>
        <v>406.31621427590767</v>
      </c>
      <c r="H70" s="43">
        <f t="shared" si="56"/>
        <v>36.600327247536626</v>
      </c>
      <c r="I70" s="23">
        <f>J$5^Konstanten!$E$5*$A70*$D70^Konstanten!$F$5*J$4^Konstanten!$G$5*I$5^Konstanten!$H$5*(Konstanten!$C$5-J$4^Konstanten!$I$5*Konstanten!$D$5)</f>
        <v>3846.860204717846</v>
      </c>
      <c r="J70" s="28">
        <f>Konstanten!$C$24*(((($I$3+$J$3)*Konstanten!$I$24+$K$3)/(Konstanten!$I$24+2))^Konstanten!$D$24*$D70^Konstanten!$E$24*ABS($J$4)^Konstanten!$F$24+Konstanten!$H$24*($D70*$A70)^Konstanten!$G$24)</f>
        <v>36.535486443576694</v>
      </c>
      <c r="K70" s="37">
        <f>3.6*I70/(J$4*Konstanten!$K$3)</f>
        <v>220.49080517739253</v>
      </c>
      <c r="L70" s="43">
        <f t="shared" si="57"/>
        <v>12.50472880923885</v>
      </c>
      <c r="M70" s="23">
        <f>IF(M$7="trocken",N70,IF(Konstanten!$A$18*(N$6^Konstanten!$B$18*N$5^Konstanten!$C$18*N70^Konstanten!$D$18*M$5^Konstanten!$E$18+N$4^Konstanten!$F$18)&lt;1,N70,N70*Konstanten!$A$18*(N$6^Konstanten!$B$18*N$5^Konstanten!$C$18*N70^Konstanten!$D$18*M$5^Konstanten!$E$18+N$4^Konstanten!$F$18)))</f>
        <v>2831.4031923746993</v>
      </c>
      <c r="N70" s="23">
        <f>N$5^Konstanten!$E$7*$A70*$D70^Konstanten!$F$7*N$4^Konstanten!$G$7*M$5^Konstanten!$H$7*(Konstanten!$C$7-N$4^Konstanten!$I$7*Konstanten!$D$7)</f>
        <v>2329.5047835224568</v>
      </c>
      <c r="O70" s="28">
        <f>Konstanten!$C$26*(((($M$3+$N$3)*Konstanten!$I$26+$O$3)/(Konstanten!$I$26+2))^Konstanten!$D$26*$D70^Konstanten!$E$26*ABS($N$4)^Konstanten!$F$26+Konstanten!$H$26*($D70*$A70)^Konstanten!$G$26)</f>
        <v>14.534603977038083</v>
      </c>
      <c r="P70" s="37">
        <f>3.6*M70/(N$4*Konstanten!$K$3)</f>
        <v>347.75951023060776</v>
      </c>
      <c r="Q70" s="43">
        <f t="shared" si="58"/>
        <v>26.141541327757785</v>
      </c>
      <c r="R70" s="68">
        <f t="shared" si="31"/>
        <v>0.80054686392028052</v>
      </c>
      <c r="S70" s="23">
        <f>IF(S$7="trocken",T70,IF(Konstanten!$A$18*(V$3^Konstanten!$B$18*T$5^Konstanten!$C$18*T70^Konstanten!$D$18*S$5^Konstanten!$E$18+T$4^Konstanten!$F$18)&lt;1,T70,T70*Konstanten!$A$18*(T$6^Konstanten!$B$18*T$5^Konstanten!$C$18*T70^Konstanten!$D$18*S$5^Konstanten!$E$18+T$4^Konstanten!$F$18)))</f>
        <v>1737.2400561406787</v>
      </c>
      <c r="T70" s="23">
        <f>T$5^Konstanten!$E$7*$A70*$D70^Konstanten!$F$7*T$4^Konstanten!$G$7*S$5^Konstanten!$H$7*(Konstanten!$C$7-T$4^Konstanten!$I$7*Konstanten!$D$7)</f>
        <v>1737.2400561406787</v>
      </c>
      <c r="U70" s="28">
        <f>Konstanten!$C$26*(((($S$3+$T$3)*Konstanten!$I$26+$U$3)/(Konstanten!$I$26+2))^Konstanten!$D$26*$D70^Konstanten!$E$26*ABS($T$4)^Konstanten!$F$26+Konstanten!$H$26*($D70*$A70)^Konstanten!$G$26)</f>
        <v>19.008287511719821</v>
      </c>
      <c r="V70" s="37">
        <f>3.6*S70/(T$4*Konstanten!$K$3)</f>
        <v>746.80149208782825</v>
      </c>
      <c r="W70" s="43">
        <f t="shared" si="59"/>
        <v>18.929887472895015</v>
      </c>
      <c r="X70" s="68">
        <f t="shared" si="32"/>
        <v>0</v>
      </c>
      <c r="Z70" s="46">
        <v>840</v>
      </c>
      <c r="AA70" s="98">
        <f t="shared" si="37"/>
        <v>35.5</v>
      </c>
      <c r="AB70" s="98">
        <v>43.5</v>
      </c>
      <c r="AC70" s="75">
        <f t="shared" si="38"/>
        <v>43.5</v>
      </c>
    </row>
    <row r="71" spans="1:29" x14ac:dyDescent="0.3">
      <c r="A71">
        <v>2520</v>
      </c>
      <c r="B71" s="50">
        <v>3000</v>
      </c>
      <c r="C71" s="65">
        <v>40</v>
      </c>
      <c r="D71" s="27">
        <f t="shared" si="39"/>
        <v>565</v>
      </c>
      <c r="E71" s="23">
        <f>F$5^Konstanten!$E$5*$A71*$D71^Konstanten!$F$5*F$4^Konstanten!$G$5*E$5^Konstanten!$H$5*(Konstanten!$C$5-F$4^Konstanten!$I$5*Konstanten!$D$5)</f>
        <v>3513.9640816713536</v>
      </c>
      <c r="F71" s="28">
        <f>Konstanten!$C$24*(((($E$3+$F$3)*Konstanten!$I$24+$G$3)/(Konstanten!$I$24+2))^Konstanten!$D$24*$D71^Konstanten!$E$24*ABS($F$4)^Konstanten!$F$24+Konstanten!$H$24*($D71*$A71)^Konstanten!$G$24)</f>
        <v>41.838481796325674</v>
      </c>
      <c r="G71" s="37">
        <f>3.6*E71/(F$4*Konstanten!$K$3)</f>
        <v>302.11525575400344</v>
      </c>
      <c r="H71" s="43">
        <f t="shared" si="56"/>
        <v>21.746375204602437</v>
      </c>
      <c r="I71" s="23">
        <f>J$5^Konstanten!$E$5*$A71*$D71^Konstanten!$F$5*J$4^Konstanten!$G$5*I$5^Konstanten!$H$5*(Konstanten!$C$5-J$4^Konstanten!$I$5*Konstanten!$D$5)</f>
        <v>2860.3218718932185</v>
      </c>
      <c r="J71" s="28">
        <f>Konstanten!$C$24*(((($I$3+$J$3)*Konstanten!$I$24+$K$3)/(Konstanten!$I$24+2))^Konstanten!$D$24*$D71^Konstanten!$E$24*ABS($J$4)^Konstanten!$F$24+Konstanten!$H$24*($D71*$A71)^Konstanten!$G$24)</f>
        <v>39.411269684176368</v>
      </c>
      <c r="K71" s="37">
        <f>3.6*I71/(J$4*Konstanten!$K$3)</f>
        <v>163.94530579166189</v>
      </c>
      <c r="L71" s="43">
        <f t="shared" si="57"/>
        <v>7.4297839655467097</v>
      </c>
      <c r="M71" s="23">
        <f>IF(M$7="trocken",N71,IF(Konstanten!$A$18*(N$6^Konstanten!$B$18*N$5^Konstanten!$C$18*N71^Konstanten!$D$18*M$5^Konstanten!$E$18+N$4^Konstanten!$F$18)&lt;1,N71,N71*Konstanten!$A$18*(N$6^Konstanten!$B$18*N$5^Konstanten!$C$18*N71^Konstanten!$D$18*M$5^Konstanten!$E$18+N$4^Konstanten!$F$18)))</f>
        <v>1655.4347572545214</v>
      </c>
      <c r="N71" s="23">
        <f>N$5^Konstanten!$E$7*$A71*$D71^Konstanten!$F$7*N$4^Konstanten!$G$7*M$5^Konstanten!$H$7*(Konstanten!$C$7-N$4^Konstanten!$I$7*Konstanten!$D$7)</f>
        <v>1339.6297440816204</v>
      </c>
      <c r="O71" s="28">
        <f>Konstanten!$C$26*(((($M$3+$N$3)*Konstanten!$I$26+$O$3)/(Konstanten!$I$26+2))^Konstanten!$D$26*$D71^Konstanten!$E$26*ABS($N$4)^Konstanten!$F$26+Konstanten!$H$26*($D71*$A71)^Konstanten!$G$26)</f>
        <v>13.64478401265078</v>
      </c>
      <c r="P71" s="37">
        <f>3.6*M71/(N$4*Konstanten!$K$3)</f>
        <v>203.32433824753983</v>
      </c>
      <c r="Q71" s="43">
        <f t="shared" si="58"/>
        <v>10.28264487789982</v>
      </c>
      <c r="R71" s="68">
        <f t="shared" si="31"/>
        <v>0.50372088942066617</v>
      </c>
      <c r="S71" s="23">
        <f>IF(S$7="trocken",T71,IF(Konstanten!$A$18*(V$3^Konstanten!$B$18*T$5^Konstanten!$C$18*T71^Konstanten!$D$18*S$5^Konstanten!$E$18+T$4^Konstanten!$F$18)&lt;1,T71,T71*Konstanten!$A$18*(T$6^Konstanten!$B$18*T$5^Konstanten!$C$18*T71^Konstanten!$D$18*S$5^Konstanten!$E$18+T$4^Konstanten!$F$18)))</f>
        <v>999.03570418817378</v>
      </c>
      <c r="T71" s="23">
        <f>T$5^Konstanten!$E$7*$A71*$D71^Konstanten!$F$7*T$4^Konstanten!$G$7*S$5^Konstanten!$H$7*(Konstanten!$C$7-T$4^Konstanten!$I$7*Konstanten!$D$7)</f>
        <v>999.03570418817378</v>
      </c>
      <c r="U71" s="28">
        <f>Konstanten!$C$26*(((($S$3+$T$3)*Konstanten!$I$26+$U$3)/(Konstanten!$I$26+2))^Konstanten!$D$26*$D71^Konstanten!$E$26*ABS($T$4)^Konstanten!$F$26+Konstanten!$H$26*($D71*$A71)^Konstanten!$G$26)</f>
        <v>17.831825500341072</v>
      </c>
      <c r="V71" s="37">
        <f>3.6*S71/(T$4*Konstanten!$K$3)</f>
        <v>429.4635919195764</v>
      </c>
      <c r="W71" s="43">
        <f t="shared" si="59"/>
        <v>7.0287927932497256</v>
      </c>
      <c r="X71" s="68">
        <f t="shared" si="32"/>
        <v>0</v>
      </c>
      <c r="Z71" s="46">
        <v>520</v>
      </c>
      <c r="AA71" s="98">
        <f t="shared" si="37"/>
        <v>25.1</v>
      </c>
      <c r="AB71" s="98">
        <v>33.1</v>
      </c>
      <c r="AC71" s="75">
        <f t="shared" si="38"/>
        <v>33.1</v>
      </c>
    </row>
    <row r="72" spans="1:29" x14ac:dyDescent="0.3">
      <c r="A72" s="22">
        <v>2520</v>
      </c>
      <c r="B72" s="51">
        <v>3000</v>
      </c>
      <c r="C72" s="66">
        <v>20</v>
      </c>
      <c r="D72" s="78">
        <f t="shared" si="39"/>
        <v>300</v>
      </c>
      <c r="E72" s="24">
        <f>F$5^Konstanten!$E$5*$A72*$D72^Konstanten!$F$5*F$4^Konstanten!$G$5*E$5^Konstanten!$H$5*(Konstanten!$C$5-F$4^Konstanten!$I$5*Konstanten!$D$5)</f>
        <v>2157.6146814485392</v>
      </c>
      <c r="F72" s="29">
        <f>Konstanten!$C$24*(((($E$3+$F$3)*Konstanten!$I$24+$G$3)/(Konstanten!$I$24+2))^Konstanten!$D$24*$D72^Konstanten!$E$24*ABS($F$4)^Konstanten!$F$24+Konstanten!$H$24*($D72*$A72)^Konstanten!$G$24)</f>
        <v>48.726252188630433</v>
      </c>
      <c r="G72" s="38">
        <f>3.6*E72/(F$4*Konstanten!$K$3)</f>
        <v>185.50226927600755</v>
      </c>
      <c r="H72" s="44">
        <f t="shared" si="56"/>
        <v>9.2306927162422401</v>
      </c>
      <c r="I72" s="24">
        <f>J$5^Konstanten!$E$5*$A72*$D72^Konstanten!$F$5*J$4^Konstanten!$G$5*I$5^Konstanten!$H$5*(Konstanten!$C$5-J$4^Konstanten!$I$5*Konstanten!$D$5)</f>
        <v>1756.2707873581414</v>
      </c>
      <c r="J72" s="29">
        <f>Konstanten!$C$24*(((($I$3+$J$3)*Konstanten!$I$24+$K$3)/(Konstanten!$I$24+2))^Konstanten!$D$24*$D72^Konstanten!$E$24*ABS($J$4)^Konstanten!$F$24+Konstanten!$H$24*($D72*$A72)^Konstanten!$G$24)</f>
        <v>45.617486124517093</v>
      </c>
      <c r="K72" s="38">
        <f>3.6*I72/(J$4*Konstanten!$K$3)</f>
        <v>100.66431827681468</v>
      </c>
      <c r="L72" s="44">
        <f t="shared" si="57"/>
        <v>3.1537234177542648</v>
      </c>
      <c r="M72" s="24">
        <f>IF(M$7="trocken",N72,IF(Konstanten!$A$18*(N$6^Konstanten!$B$18*N$5^Konstanten!$C$18*N72^Konstanten!$D$18*M$5^Konstanten!$E$18+N$4^Konstanten!$F$18)&lt;1,N72,N72*Konstanten!$A$18*(N$6^Konstanten!$B$18*N$5^Konstanten!$C$18*N72^Konstanten!$D$18*M$5^Konstanten!$E$18+N$4^Konstanten!$F$18)))</f>
        <v>684.32285965387075</v>
      </c>
      <c r="N72" s="24">
        <f>N$5^Konstanten!$E$7*$A72*$D72^Konstanten!$F$7*N$4^Konstanten!$G$7*M$5^Konstanten!$H$7*(Konstanten!$C$7-N$4^Konstanten!$I$7*Konstanten!$D$7)</f>
        <v>538.87869945347768</v>
      </c>
      <c r="O72" s="29">
        <f>Konstanten!$C$26*(((($M$3+$N$3)*Konstanten!$I$26+$O$3)/(Konstanten!$I$26+2))^Konstanten!$D$26*$D72^Konstanten!$E$26*ABS($N$4)^Konstanten!$F$26+Konstanten!$H$26*($D72*$A72)^Konstanten!$G$26)</f>
        <v>12.318978385995731</v>
      </c>
      <c r="P72" s="38">
        <f>3.6*M72/(N$4*Konstanten!$K$3)</f>
        <v>84.050121562957358</v>
      </c>
      <c r="Q72" s="44">
        <f t="shared" si="58"/>
        <v>2.2137447090094513</v>
      </c>
      <c r="R72" s="69">
        <f t="shared" si="31"/>
        <v>0.23198891303562919</v>
      </c>
      <c r="S72" s="24">
        <f>IF(S$7="trocken",T72,IF(Konstanten!$A$18*(V$3^Konstanten!$B$18*T$5^Konstanten!$C$18*T72^Konstanten!$D$18*S$5^Konstanten!$E$18+T$4^Konstanten!$F$18)&lt;1,T72,T72*Konstanten!$A$18*(T$6^Konstanten!$B$18*T$5^Konstanten!$C$18*T72^Konstanten!$D$18*S$5^Konstanten!$E$18+T$4^Konstanten!$F$18)))</f>
        <v>401.87153454821424</v>
      </c>
      <c r="T72" s="24">
        <f>T$5^Konstanten!$E$7*$A72*$D72^Konstanten!$F$7*T$4^Konstanten!$G$7*S$5^Konstanten!$H$7*(Konstanten!$C$7-T$4^Konstanten!$I$7*Konstanten!$D$7)</f>
        <v>401.87153454821424</v>
      </c>
      <c r="U72" s="29">
        <f>Konstanten!$C$26*(((($S$3+$T$3)*Konstanten!$I$26+$U$3)/(Konstanten!$I$26+2))^Konstanten!$D$26*$D72^Konstanten!$E$26*ABS($T$4)^Konstanten!$F$26+Konstanten!$H$26*($D72*$A72)^Konstanten!$G$26)</f>
        <v>16.07365229291289</v>
      </c>
      <c r="V72" s="38">
        <f>3.6*S72/(T$4*Konstanten!$K$3)</f>
        <v>172.75578039280978</v>
      </c>
      <c r="W72" s="44">
        <f t="shared" si="59"/>
        <v>1.3761635694684085</v>
      </c>
      <c r="X72" s="69">
        <f t="shared" si="32"/>
        <v>0</v>
      </c>
      <c r="Z72" s="47">
        <v>195</v>
      </c>
      <c r="AA72" s="99">
        <f t="shared" si="37"/>
        <v>19</v>
      </c>
      <c r="AB72" s="99">
        <v>27</v>
      </c>
      <c r="AC72" s="75" t="str">
        <f t="shared" si="38"/>
        <v>&lt; 28 dB(A)</v>
      </c>
    </row>
    <row r="78" spans="1:29" x14ac:dyDescent="0.3">
      <c r="F78" s="12"/>
      <c r="G78" s="5"/>
      <c r="H78" s="5"/>
      <c r="I78" s="5"/>
      <c r="J78" s="5"/>
      <c r="K78" s="5"/>
      <c r="L78" s="5"/>
      <c r="M78" s="13"/>
    </row>
    <row r="79" spans="1:29" x14ac:dyDescent="0.3">
      <c r="F79" s="12"/>
      <c r="G79" s="5"/>
      <c r="H79" s="5"/>
      <c r="I79" s="5"/>
      <c r="J79" s="5"/>
      <c r="K79" s="5"/>
      <c r="L79" s="5"/>
      <c r="M79" s="13"/>
    </row>
  </sheetData>
  <mergeCells count="4">
    <mergeCell ref="M7:O7"/>
    <mergeCell ref="S7:U7"/>
    <mergeCell ref="A41:AB41"/>
    <mergeCell ref="A8:AB8"/>
  </mergeCells>
  <pageMargins left="0.7" right="0.7" top="0.78740157499999996" bottom="0.78740157499999996" header="0.3" footer="0.3"/>
  <pageSetup paperSize="9" orientation="portrait" horizontalDpi="1200" verticalDpi="1200" r:id="rId1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0"/>
  <sheetViews>
    <sheetView workbookViewId="0">
      <selection activeCell="K23" sqref="K23"/>
    </sheetView>
  </sheetViews>
  <sheetFormatPr baseColWidth="10" defaultColWidth="11.44140625" defaultRowHeight="14.4" x14ac:dyDescent="0.3"/>
  <sheetData>
    <row r="1" spans="1:10" x14ac:dyDescent="0.3">
      <c r="A1" s="31">
        <v>16.600000000000001</v>
      </c>
      <c r="B1">
        <v>144</v>
      </c>
      <c r="C1" s="53">
        <v>1350</v>
      </c>
      <c r="D1">
        <v>780</v>
      </c>
      <c r="G1">
        <f>SUM(D1:F1)</f>
        <v>780</v>
      </c>
      <c r="H1">
        <v>1340</v>
      </c>
      <c r="I1" s="76">
        <f>-0.000005*H1^2 + 0.0328*H1 - 6.0627</f>
        <v>28.911300000000004</v>
      </c>
      <c r="J1" s="77">
        <f>I1/H8</f>
        <v>237.52044444444448</v>
      </c>
    </row>
    <row r="2" spans="1:10" x14ac:dyDescent="0.3">
      <c r="A2" s="31">
        <v>10.9</v>
      </c>
      <c r="B2">
        <v>101</v>
      </c>
      <c r="C2" s="27">
        <v>1090</v>
      </c>
      <c r="D2">
        <v>780</v>
      </c>
      <c r="G2">
        <f t="shared" ref="G2:G19" si="0">SUM(D2:F2)</f>
        <v>780</v>
      </c>
      <c r="H2">
        <v>1340</v>
      </c>
      <c r="I2" s="76">
        <f xml:space="preserve"> -0.000004*H2^2 + 0.0228*H2 - 4.6073</f>
        <v>18.762299999999996</v>
      </c>
      <c r="J2" s="77">
        <f t="shared" ref="J2:J5" si="1">I2/H9</f>
        <v>156.83358461538458</v>
      </c>
    </row>
    <row r="3" spans="1:10" x14ac:dyDescent="0.3">
      <c r="A3" s="31">
        <v>7.7</v>
      </c>
      <c r="B3">
        <v>76</v>
      </c>
      <c r="C3" s="27">
        <v>830</v>
      </c>
      <c r="D3">
        <v>780</v>
      </c>
      <c r="G3">
        <f t="shared" si="0"/>
        <v>780</v>
      </c>
      <c r="H3">
        <v>1340</v>
      </c>
      <c r="I3" s="76">
        <f xml:space="preserve"> -0.000002*H3^2 + 0.0134*H3 - 1.3892</f>
        <v>12.975599999999998</v>
      </c>
      <c r="J3" s="77">
        <f t="shared" si="1"/>
        <v>117.4955905511811</v>
      </c>
    </row>
    <row r="4" spans="1:10" x14ac:dyDescent="0.3">
      <c r="A4" s="31">
        <v>5.4</v>
      </c>
      <c r="B4">
        <v>60</v>
      </c>
      <c r="C4" s="27">
        <v>565</v>
      </c>
      <c r="D4">
        <v>780</v>
      </c>
      <c r="G4">
        <f t="shared" si="0"/>
        <v>780</v>
      </c>
      <c r="H4">
        <v>1340</v>
      </c>
      <c r="I4" s="76">
        <f xml:space="preserve"> -0.000002*H4^2 + 0.0095*H4 - 0.93</f>
        <v>8.2088000000000001</v>
      </c>
      <c r="J4" s="77">
        <f t="shared" si="1"/>
        <v>81.144459770114949</v>
      </c>
    </row>
    <row r="5" spans="1:10" x14ac:dyDescent="0.3">
      <c r="A5" s="31">
        <v>4.4000000000000004</v>
      </c>
      <c r="B5">
        <v>52</v>
      </c>
      <c r="C5" s="78">
        <v>300</v>
      </c>
      <c r="D5">
        <v>780</v>
      </c>
      <c r="G5">
        <f t="shared" si="0"/>
        <v>780</v>
      </c>
      <c r="H5">
        <v>1340</v>
      </c>
      <c r="I5" s="76">
        <f xml:space="preserve"> -0.000002*H5^2 + 0.0076*H5 - 0.562</f>
        <v>6.0307999999999993</v>
      </c>
      <c r="J5" s="77">
        <f t="shared" si="1"/>
        <v>64.742411764705878</v>
      </c>
    </row>
    <row r="8" spans="1:10" x14ac:dyDescent="0.3">
      <c r="A8" s="31">
        <v>29.7</v>
      </c>
      <c r="B8">
        <v>244</v>
      </c>
      <c r="C8" s="53">
        <v>1350</v>
      </c>
      <c r="D8">
        <v>580</v>
      </c>
      <c r="E8">
        <v>780</v>
      </c>
      <c r="G8">
        <f t="shared" si="0"/>
        <v>1360</v>
      </c>
      <c r="H8">
        <f>A8/B8</f>
        <v>0.12172131147540984</v>
      </c>
    </row>
    <row r="9" spans="1:10" x14ac:dyDescent="0.3">
      <c r="A9" s="31">
        <v>19.5</v>
      </c>
      <c r="B9">
        <v>163</v>
      </c>
      <c r="C9" s="27">
        <v>1090</v>
      </c>
      <c r="D9">
        <v>580</v>
      </c>
      <c r="E9">
        <v>780</v>
      </c>
      <c r="G9">
        <f t="shared" si="0"/>
        <v>1360</v>
      </c>
      <c r="H9">
        <f t="shared" ref="H9:H12" si="2">A9/B9</f>
        <v>0.1196319018404908</v>
      </c>
    </row>
    <row r="10" spans="1:10" x14ac:dyDescent="0.3">
      <c r="A10" s="31">
        <v>12.7</v>
      </c>
      <c r="B10">
        <v>115</v>
      </c>
      <c r="C10" s="27">
        <v>830</v>
      </c>
      <c r="D10">
        <v>580</v>
      </c>
      <c r="E10">
        <v>780</v>
      </c>
      <c r="G10">
        <f t="shared" si="0"/>
        <v>1360</v>
      </c>
      <c r="H10">
        <f t="shared" si="2"/>
        <v>0.11043478260869564</v>
      </c>
    </row>
    <row r="11" spans="1:10" x14ac:dyDescent="0.3">
      <c r="A11" s="31">
        <v>8.6999999999999993</v>
      </c>
      <c r="B11">
        <v>86</v>
      </c>
      <c r="C11" s="27">
        <v>565</v>
      </c>
      <c r="D11">
        <v>580</v>
      </c>
      <c r="E11">
        <v>780</v>
      </c>
      <c r="G11">
        <f t="shared" si="0"/>
        <v>1360</v>
      </c>
      <c r="H11">
        <f t="shared" si="2"/>
        <v>0.10116279069767441</v>
      </c>
    </row>
    <row r="12" spans="1:10" x14ac:dyDescent="0.3">
      <c r="A12" s="31">
        <v>6.8</v>
      </c>
      <c r="B12">
        <v>73</v>
      </c>
      <c r="C12" s="78">
        <v>300</v>
      </c>
      <c r="D12">
        <v>580</v>
      </c>
      <c r="E12">
        <v>780</v>
      </c>
      <c r="G12">
        <f t="shared" si="0"/>
        <v>1360</v>
      </c>
      <c r="H12">
        <f t="shared" si="2"/>
        <v>9.3150684931506841E-2</v>
      </c>
    </row>
    <row r="15" spans="1:10" x14ac:dyDescent="0.3">
      <c r="A15" s="31">
        <v>39.6</v>
      </c>
      <c r="B15">
        <v>369</v>
      </c>
      <c r="C15" s="53">
        <v>1350</v>
      </c>
      <c r="D15">
        <v>580</v>
      </c>
      <c r="E15">
        <v>580</v>
      </c>
      <c r="F15">
        <v>780</v>
      </c>
      <c r="G15">
        <f t="shared" si="0"/>
        <v>1940</v>
      </c>
    </row>
    <row r="16" spans="1:10" x14ac:dyDescent="0.3">
      <c r="A16" s="31">
        <v>25.6</v>
      </c>
      <c r="B16">
        <v>239</v>
      </c>
      <c r="C16" s="27">
        <v>1090</v>
      </c>
      <c r="D16">
        <v>580</v>
      </c>
      <c r="E16">
        <v>580</v>
      </c>
      <c r="F16">
        <v>780</v>
      </c>
      <c r="G16">
        <f t="shared" si="0"/>
        <v>1940</v>
      </c>
    </row>
    <row r="17" spans="1:7" x14ac:dyDescent="0.3">
      <c r="A17" s="31">
        <v>16.2</v>
      </c>
      <c r="B17">
        <v>151</v>
      </c>
      <c r="C17" s="27">
        <v>830</v>
      </c>
      <c r="D17">
        <v>580</v>
      </c>
      <c r="E17">
        <v>580</v>
      </c>
      <c r="F17">
        <v>780</v>
      </c>
      <c r="G17">
        <f t="shared" si="0"/>
        <v>1940</v>
      </c>
    </row>
    <row r="18" spans="1:7" x14ac:dyDescent="0.3">
      <c r="A18" s="31">
        <v>10.8</v>
      </c>
      <c r="B18">
        <v>101</v>
      </c>
      <c r="C18" s="27">
        <v>565</v>
      </c>
      <c r="D18">
        <v>580</v>
      </c>
      <c r="E18">
        <v>580</v>
      </c>
      <c r="F18">
        <v>780</v>
      </c>
      <c r="G18">
        <f t="shared" si="0"/>
        <v>1940</v>
      </c>
    </row>
    <row r="19" spans="1:7" x14ac:dyDescent="0.3">
      <c r="A19" s="31">
        <v>8.1</v>
      </c>
      <c r="B19">
        <v>76</v>
      </c>
      <c r="C19" s="78">
        <v>300</v>
      </c>
      <c r="D19">
        <v>580</v>
      </c>
      <c r="E19">
        <v>580</v>
      </c>
      <c r="F19">
        <v>780</v>
      </c>
      <c r="G19">
        <f t="shared" si="0"/>
        <v>1940</v>
      </c>
    </row>
    <row r="20" spans="1:7" x14ac:dyDescent="0.3">
      <c r="C20" s="78"/>
    </row>
  </sheetData>
  <pageMargins left="0.7" right="0.7" top="0.78740157499999996" bottom="0.78740157499999996" header="0.3" footer="0.3"/>
  <pageSetup paperSize="9" orientation="portrait" horizontalDpi="1200" verticalDpi="1200" r:id="rId1"/>
  <customProperties>
    <customPr name="_pios_id" r:id="rId2"/>
  </customPropertie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3"/>
  <dimension ref="A1:K30"/>
  <sheetViews>
    <sheetView workbookViewId="0">
      <selection activeCell="C8" sqref="C8"/>
    </sheetView>
  </sheetViews>
  <sheetFormatPr baseColWidth="10" defaultColWidth="11.44140625" defaultRowHeight="14.4" x14ac:dyDescent="0.3"/>
  <cols>
    <col min="1" max="1" width="10" style="27" bestFit="1" customWidth="1"/>
    <col min="2" max="2" width="10.5546875" style="27" bestFit="1" customWidth="1"/>
    <col min="3" max="5" width="19.5546875" style="27" bestFit="1" customWidth="1"/>
    <col min="6" max="6" width="20.44140625" style="27" bestFit="1" customWidth="1"/>
    <col min="7" max="8" width="21.5546875" style="27" bestFit="1" customWidth="1"/>
    <col min="9" max="9" width="22.44140625" style="27" bestFit="1" customWidth="1"/>
    <col min="10" max="16384" width="11.44140625" style="27"/>
  </cols>
  <sheetData>
    <row r="1" spans="1:11" x14ac:dyDescent="0.3">
      <c r="A1" s="447" t="s">
        <v>130</v>
      </c>
      <c r="B1" s="447"/>
      <c r="C1" s="447"/>
      <c r="D1" s="447"/>
      <c r="E1" s="447"/>
      <c r="F1" s="447"/>
      <c r="G1" s="447"/>
      <c r="H1" s="447"/>
      <c r="I1" s="447"/>
    </row>
    <row r="2" spans="1:11" x14ac:dyDescent="0.3">
      <c r="C2" s="27" t="s">
        <v>131</v>
      </c>
      <c r="D2" s="27" t="s">
        <v>11</v>
      </c>
      <c r="E2" s="27" t="s">
        <v>12</v>
      </c>
      <c r="F2" s="27" t="s">
        <v>5</v>
      </c>
      <c r="G2" s="27" t="s">
        <v>132</v>
      </c>
      <c r="H2" s="27" t="s">
        <v>133</v>
      </c>
      <c r="I2" s="27" t="s">
        <v>134</v>
      </c>
      <c r="K2" s="27" t="s">
        <v>135</v>
      </c>
    </row>
    <row r="3" spans="1:11" x14ac:dyDescent="0.3">
      <c r="C3" s="27" t="s">
        <v>136</v>
      </c>
      <c r="D3" s="27" t="s">
        <v>137</v>
      </c>
      <c r="E3" s="27" t="s">
        <v>138</v>
      </c>
      <c r="F3" s="27" t="s">
        <v>139</v>
      </c>
      <c r="G3" s="27" t="s">
        <v>140</v>
      </c>
      <c r="H3" s="27" t="s">
        <v>141</v>
      </c>
      <c r="I3" s="27" t="s">
        <v>142</v>
      </c>
      <c r="K3" s="27">
        <v>4.1872333333333298</v>
      </c>
    </row>
    <row r="4" spans="1:11" x14ac:dyDescent="0.3">
      <c r="A4" s="27" t="s">
        <v>51</v>
      </c>
      <c r="B4" s="27" t="s">
        <v>61</v>
      </c>
      <c r="C4" s="26">
        <v>1.8550000000000001E-3</v>
      </c>
      <c r="D4" s="26">
        <v>1.794E-3</v>
      </c>
      <c r="E4" s="26">
        <v>1.1311310000000001</v>
      </c>
      <c r="F4" s="26">
        <v>1.065893</v>
      </c>
      <c r="G4" s="26">
        <v>-0.165515</v>
      </c>
      <c r="H4" s="26">
        <v>0</v>
      </c>
      <c r="I4" s="26">
        <v>0</v>
      </c>
    </row>
    <row r="5" spans="1:11" x14ac:dyDescent="0.3">
      <c r="A5" s="27" t="s">
        <v>51</v>
      </c>
      <c r="B5" s="27" t="s">
        <v>62</v>
      </c>
      <c r="C5" s="26">
        <v>4.4700000000000002E-4</v>
      </c>
      <c r="D5" s="25">
        <v>-2.1800000000000001E-4</v>
      </c>
      <c r="E5" s="25">
        <v>1.386414</v>
      </c>
      <c r="F5" s="25">
        <v>0.77047100000000002</v>
      </c>
      <c r="G5" s="26">
        <v>-0.179539</v>
      </c>
      <c r="H5" s="25">
        <v>-0.33876600000000001</v>
      </c>
      <c r="I5" s="25">
        <v>-1.9999999999999973</v>
      </c>
    </row>
    <row r="6" spans="1:11" x14ac:dyDescent="0.3">
      <c r="A6" s="27" t="s">
        <v>52</v>
      </c>
      <c r="B6" s="27" t="s">
        <v>61</v>
      </c>
      <c r="C6" s="26">
        <v>1.3799999999999999E-3</v>
      </c>
      <c r="D6" s="25">
        <v>1.377E-3</v>
      </c>
      <c r="E6" s="25">
        <v>0.91622800000000004</v>
      </c>
      <c r="F6" s="25">
        <v>1.4618930000000001</v>
      </c>
      <c r="G6" s="26">
        <v>-0.47750700000000001</v>
      </c>
      <c r="H6" s="25">
        <v>0.140989</v>
      </c>
      <c r="I6" s="25">
        <v>-1.585E-3</v>
      </c>
    </row>
    <row r="7" spans="1:11" x14ac:dyDescent="0.3">
      <c r="A7" s="27" t="s">
        <v>52</v>
      </c>
      <c r="B7" s="27" t="s">
        <v>62</v>
      </c>
      <c r="C7" s="26">
        <v>5.0000000000000004E-6</v>
      </c>
      <c r="D7" s="25">
        <v>0</v>
      </c>
      <c r="E7" s="25">
        <v>0.98876799999999998</v>
      </c>
      <c r="F7" s="25">
        <v>1.4385399999999999</v>
      </c>
      <c r="G7" s="26">
        <v>-0.161078</v>
      </c>
      <c r="H7" s="25">
        <v>0</v>
      </c>
      <c r="I7" s="25">
        <v>0.21540799999999999</v>
      </c>
    </row>
    <row r="9" spans="1:11" x14ac:dyDescent="0.3">
      <c r="C9" s="447" t="s">
        <v>143</v>
      </c>
      <c r="D9" s="447"/>
      <c r="E9" s="447"/>
      <c r="F9" s="447"/>
      <c r="G9" s="447"/>
      <c r="H9" s="447"/>
    </row>
    <row r="10" spans="1:11" x14ac:dyDescent="0.3">
      <c r="C10" s="50">
        <v>950</v>
      </c>
      <c r="D10" s="50">
        <v>1200</v>
      </c>
      <c r="E10" s="50">
        <v>1700</v>
      </c>
      <c r="F10" s="50">
        <v>2000</v>
      </c>
      <c r="G10" s="50">
        <v>2500</v>
      </c>
      <c r="H10" s="50">
        <v>3000</v>
      </c>
    </row>
    <row r="11" spans="1:11" x14ac:dyDescent="0.3">
      <c r="A11" s="27" t="s">
        <v>51</v>
      </c>
      <c r="B11" s="27" t="s">
        <v>61</v>
      </c>
      <c r="C11" s="19" t="s">
        <v>144</v>
      </c>
      <c r="D11" s="19" t="s">
        <v>145</v>
      </c>
      <c r="E11" s="19" t="s">
        <v>146</v>
      </c>
      <c r="F11" s="19" t="s">
        <v>147</v>
      </c>
      <c r="G11" s="19" t="s">
        <v>148</v>
      </c>
      <c r="H11" s="19" t="s">
        <v>149</v>
      </c>
    </row>
    <row r="12" spans="1:11" x14ac:dyDescent="0.3">
      <c r="A12" s="27" t="s">
        <v>52</v>
      </c>
      <c r="B12" s="27" t="s">
        <v>61</v>
      </c>
      <c r="C12" s="19" t="s">
        <v>150</v>
      </c>
      <c r="D12" s="19" t="s">
        <v>151</v>
      </c>
      <c r="E12" s="19" t="s">
        <v>152</v>
      </c>
      <c r="F12" s="19" t="s">
        <v>153</v>
      </c>
      <c r="G12" s="19" t="s">
        <v>154</v>
      </c>
      <c r="H12" s="19" t="s">
        <v>155</v>
      </c>
    </row>
    <row r="13" spans="1:11" x14ac:dyDescent="0.3">
      <c r="A13" s="27" t="s">
        <v>51</v>
      </c>
      <c r="B13" s="27" t="s">
        <v>62</v>
      </c>
      <c r="C13" s="19" t="s">
        <v>156</v>
      </c>
      <c r="D13" s="19" t="s">
        <v>157</v>
      </c>
      <c r="E13" s="19" t="s">
        <v>158</v>
      </c>
      <c r="F13" s="19" t="s">
        <v>159</v>
      </c>
      <c r="G13" s="19" t="s">
        <v>160</v>
      </c>
      <c r="H13" s="19" t="s">
        <v>161</v>
      </c>
    </row>
    <row r="14" spans="1:11" x14ac:dyDescent="0.3">
      <c r="A14" s="27" t="s">
        <v>52</v>
      </c>
      <c r="B14" s="27" t="s">
        <v>62</v>
      </c>
      <c r="C14" s="19" t="s">
        <v>162</v>
      </c>
      <c r="D14" s="19" t="s">
        <v>163</v>
      </c>
      <c r="E14" s="19" t="s">
        <v>164</v>
      </c>
      <c r="F14" s="19" t="s">
        <v>165</v>
      </c>
      <c r="G14" s="19" t="s">
        <v>166</v>
      </c>
      <c r="H14" s="19" t="s">
        <v>167</v>
      </c>
    </row>
    <row r="16" spans="1:11" x14ac:dyDescent="0.3">
      <c r="A16" s="447" t="s">
        <v>168</v>
      </c>
      <c r="B16" s="447"/>
      <c r="C16" s="447"/>
      <c r="D16" s="447"/>
      <c r="E16" s="447"/>
      <c r="F16" s="447"/>
    </row>
    <row r="17" spans="1:9" x14ac:dyDescent="0.3">
      <c r="A17" s="27" t="s">
        <v>169</v>
      </c>
      <c r="B17" s="27" t="s">
        <v>117</v>
      </c>
      <c r="C17" s="27" t="s">
        <v>170</v>
      </c>
      <c r="D17" s="27" t="s">
        <v>131</v>
      </c>
      <c r="E17" s="27" t="s">
        <v>171</v>
      </c>
      <c r="F17" s="27" t="s">
        <v>11</v>
      </c>
    </row>
    <row r="18" spans="1:9" x14ac:dyDescent="0.3">
      <c r="A18" s="27">
        <v>0.15817999999999999</v>
      </c>
      <c r="B18" s="27">
        <v>1.576298</v>
      </c>
      <c r="C18" s="27">
        <v>-0.276061</v>
      </c>
      <c r="D18" s="27">
        <v>-3.1031E-2</v>
      </c>
      <c r="E18" s="27">
        <v>-0.54541200000000001</v>
      </c>
      <c r="F18" s="27">
        <v>-0.65905000000000002</v>
      </c>
    </row>
    <row r="20" spans="1:9" x14ac:dyDescent="0.3">
      <c r="A20" s="447" t="s">
        <v>172</v>
      </c>
      <c r="B20" s="447"/>
      <c r="C20" s="447"/>
      <c r="D20" s="447"/>
      <c r="E20" s="447"/>
      <c r="F20" s="447"/>
      <c r="G20" s="447"/>
      <c r="H20" s="447"/>
    </row>
    <row r="21" spans="1:9" x14ac:dyDescent="0.3">
      <c r="C21" s="27" t="s">
        <v>173</v>
      </c>
      <c r="D21" s="27" t="s">
        <v>174</v>
      </c>
      <c r="E21" s="27" t="s">
        <v>5</v>
      </c>
      <c r="F21" s="27" t="s">
        <v>11</v>
      </c>
      <c r="G21" s="27" t="s">
        <v>175</v>
      </c>
      <c r="H21" s="27" t="s">
        <v>175</v>
      </c>
      <c r="I21" s="27" t="s">
        <v>176</v>
      </c>
    </row>
    <row r="22" spans="1:9" x14ac:dyDescent="0.3">
      <c r="C22" s="27" t="s">
        <v>136</v>
      </c>
      <c r="D22" s="27" t="s">
        <v>138</v>
      </c>
      <c r="E22" s="27" t="s">
        <v>139</v>
      </c>
      <c r="F22" s="27" t="s">
        <v>140</v>
      </c>
      <c r="G22" s="27" t="s">
        <v>141</v>
      </c>
      <c r="H22" s="27" t="s">
        <v>137</v>
      </c>
      <c r="I22" s="27" t="s">
        <v>177</v>
      </c>
    </row>
    <row r="23" spans="1:9" x14ac:dyDescent="0.3">
      <c r="A23" s="27" t="s">
        <v>51</v>
      </c>
      <c r="B23" s="27" t="s">
        <v>61</v>
      </c>
      <c r="C23" s="26">
        <v>0.80670399999999998</v>
      </c>
      <c r="D23" s="26">
        <v>1.1000000000000001</v>
      </c>
      <c r="E23" s="26">
        <v>-0.12883</v>
      </c>
      <c r="F23" s="26">
        <v>-3.9170999999999997E-2</v>
      </c>
      <c r="G23" s="26">
        <v>8.1091999999999997E-2</v>
      </c>
      <c r="H23" s="26">
        <v>1.35659</v>
      </c>
      <c r="I23" s="26">
        <v>8.8975369999999998</v>
      </c>
    </row>
    <row r="24" spans="1:9" x14ac:dyDescent="0.3">
      <c r="A24" s="27" t="s">
        <v>51</v>
      </c>
      <c r="B24" s="27" t="s">
        <v>62</v>
      </c>
      <c r="C24" s="26">
        <v>1.3008710000000001</v>
      </c>
      <c r="D24" s="26">
        <v>1.6</v>
      </c>
      <c r="E24" s="26">
        <v>-0.39094099999999998</v>
      </c>
      <c r="F24" s="26">
        <v>-0.105016</v>
      </c>
      <c r="G24" s="26">
        <v>0.16678399999999999</v>
      </c>
      <c r="H24" s="26">
        <v>0.92303100000000005</v>
      </c>
      <c r="I24" s="26">
        <v>0.78335600000000005</v>
      </c>
    </row>
    <row r="25" spans="1:9" x14ac:dyDescent="0.3">
      <c r="A25" s="27" t="s">
        <v>52</v>
      </c>
      <c r="B25" s="27" t="s">
        <v>61</v>
      </c>
      <c r="C25" s="26">
        <v>3.7706999999999997E-2</v>
      </c>
      <c r="D25" s="26">
        <v>1.5</v>
      </c>
      <c r="E25" s="26">
        <v>0.13214699999999999</v>
      </c>
      <c r="F25" s="26">
        <v>0.39682299999999998</v>
      </c>
      <c r="G25" s="26">
        <v>-0.18410899999999999</v>
      </c>
      <c r="H25" s="26">
        <v>1.9805919999999999</v>
      </c>
      <c r="I25" s="26">
        <v>6.0285820000000001</v>
      </c>
    </row>
    <row r="26" spans="1:9" x14ac:dyDescent="0.3">
      <c r="A26" s="27" t="s">
        <v>52</v>
      </c>
      <c r="B26" s="27" t="s">
        <v>62</v>
      </c>
      <c r="C26" s="26">
        <v>9.0079999999999993E-2</v>
      </c>
      <c r="D26" s="26">
        <v>1.2</v>
      </c>
      <c r="E26" s="26">
        <v>0.17217299999999999</v>
      </c>
      <c r="F26" s="26">
        <v>0.25279200000000002</v>
      </c>
      <c r="G26" s="26">
        <v>-0.424402</v>
      </c>
      <c r="H26" s="26">
        <v>917.65405799999996</v>
      </c>
      <c r="I26" s="26">
        <v>5.1619299999999999</v>
      </c>
    </row>
    <row r="30" spans="1:9" x14ac:dyDescent="0.3">
      <c r="C30" s="63"/>
    </row>
  </sheetData>
  <mergeCells count="4">
    <mergeCell ref="C9:H9"/>
    <mergeCell ref="A1:I1"/>
    <mergeCell ref="A16:F16"/>
    <mergeCell ref="A20:H20"/>
  </mergeCells>
  <conditionalFormatting sqref="F5:F7">
    <cfRule type="cellIs" dxfId="0" priority="1" operator="greaterThan">
      <formula>7</formula>
    </cfRule>
  </conditionalFormatting>
  <pageMargins left="0.7" right="0.7" top="0.78740157499999996" bottom="0.78740157499999996" header="0.3" footer="0.3"/>
  <pageSetup paperSize="9" orientation="portrait" r:id="rId1"/>
  <customProperties>
    <customPr name="_pios_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1282168CB50F4419F63D26B9E04B498" ma:contentTypeVersion="22" ma:contentTypeDescription="Ein neues Dokument erstellen." ma:contentTypeScope="" ma:versionID="0637315b2970773346ee0d813f32723c">
  <xsd:schema xmlns:xsd="http://www.w3.org/2001/XMLSchema" xmlns:xs="http://www.w3.org/2001/XMLSchema" xmlns:p="http://schemas.microsoft.com/office/2006/metadata/properties" xmlns:ns2="c3f0d3b7-20da-4d47-aa0b-d96962587070" xmlns:ns3="ec414fca-6e0d-41a4-95a2-e88b94b77658" targetNamespace="http://schemas.microsoft.com/office/2006/metadata/properties" ma:root="true" ma:fieldsID="1efe914c67ce71680383c41d133c8f3e" ns2:_="" ns3:_="">
    <xsd:import namespace="c3f0d3b7-20da-4d47-aa0b-d96962587070"/>
    <xsd:import namespace="ec414fca-6e0d-41a4-95a2-e88b94b7765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2:TaxCatchAll" minOccurs="0"/>
                <xsd:element ref="ns3:lcf76f155ced4ddcb4097134ff3c332f" minOccurs="0"/>
                <xsd:element ref="ns3:_Flow_SignoffStatu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f0d3b7-20da-4d47-aa0b-d9696258707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03f6a46b-bbc6-40cc-8b49-9ee6e7be5a30}" ma:internalName="TaxCatchAll" ma:showField="CatchAllData" ma:web="c3f0d3b7-20da-4d47-aa0b-d969625870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414fca-6e0d-41a4-95a2-e88b94b776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ildmarkierungen" ma:readOnly="false" ma:fieldId="{5cf76f15-5ced-4ddc-b409-7134ff3c332f}" ma:taxonomyMulti="true" ma:sspId="ed62e5ed-2bb1-4952-a34e-4eb4fe3f93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4" nillable="true" ma:displayName="Sign-off status" ma:internalName="Sign_x002d_off_x0020_status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3f0d3b7-20da-4d47-aa0b-d96962587070" xsi:nil="true"/>
    <lcf76f155ced4ddcb4097134ff3c332f xmlns="ec414fca-6e0d-41a4-95a2-e88b94b77658">
      <Terms xmlns="http://schemas.microsoft.com/office/infopath/2007/PartnerControls"/>
    </lcf76f155ced4ddcb4097134ff3c332f>
    <_Flow_SignoffStatus xmlns="ec414fca-6e0d-41a4-95a2-e88b94b77658" xsi:nil="true"/>
  </documentManagement>
</p:properties>
</file>

<file path=customXml/itemProps1.xml><?xml version="1.0" encoding="utf-8"?>
<ds:datastoreItem xmlns:ds="http://schemas.openxmlformats.org/officeDocument/2006/customXml" ds:itemID="{3777E98B-BF68-4383-876D-AE6F590C201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8E102A-CE84-4B49-8C1C-8D2C27AC8C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f0d3b7-20da-4d47-aa0b-d96962587070"/>
    <ds:schemaRef ds:uri="ec414fca-6e0d-41a4-95a2-e88b94b776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744323D-CE4F-4325-B37F-DF2C49222C55}">
  <ds:schemaRefs>
    <ds:schemaRef ds:uri="http://purl.org/dc/elements/1.1/"/>
    <ds:schemaRef ds:uri="ec414fca-6e0d-41a4-95a2-e88b94b77658"/>
    <ds:schemaRef ds:uri="http://purl.org/dc/terms/"/>
    <ds:schemaRef ds:uri="http://purl.org/dc/dcmitype/"/>
    <ds:schemaRef ds:uri="http://schemas.microsoft.com/office/2006/documentManagement/types"/>
    <ds:schemaRef ds:uri="c3f0d3b7-20da-4d47-aa0b-d96962587070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14</vt:i4>
      </vt:variant>
      <vt:variant>
        <vt:lpstr>Benannte Bereiche</vt:lpstr>
      </vt:variant>
      <vt:variant>
        <vt:i4>1</vt:i4>
      </vt:variant>
    </vt:vector>
  </HeadingPairs>
  <TitlesOfParts>
    <vt:vector size="15" baseType="lpstr">
      <vt:lpstr>Messdaten</vt:lpstr>
      <vt:lpstr>Calculation Tool</vt:lpstr>
      <vt:lpstr>Katalogdaten M3G045</vt:lpstr>
      <vt:lpstr>Limits and Glycol</vt:lpstr>
      <vt:lpstr>Massenstromrechnung</vt:lpstr>
      <vt:lpstr>Legende</vt:lpstr>
      <vt:lpstr>M3G055</vt:lpstr>
      <vt:lpstr>Tabelle1</vt:lpstr>
      <vt:lpstr>Konstanten</vt:lpstr>
      <vt:lpstr>Terzbänder</vt:lpstr>
      <vt:lpstr>RGP-Funktion</vt:lpstr>
      <vt:lpstr>VGL BG2212 M3G045</vt:lpstr>
      <vt:lpstr>Iteration</vt:lpstr>
      <vt:lpstr>Drehzahlen M3G055</vt:lpstr>
      <vt:lpstr>'Calculation Tool'!Druckbereich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2024-09-19T06:32:39Z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0x01010081282168CB50F4419F63D26B9E04B498</vt:lpwstr>
  </property>
  <property fmtid="{D5CDD505-2E9C-101B-9397-08002B2CF9AE}" pid="3" name="Order">
    <vt:r8>2909200</vt:r8>
  </property>
  <property fmtid="{D5CDD505-2E9C-101B-9397-08002B2CF9AE}" pid="4" name="MediaServiceImageTags">
    <vt:lpwstr/>
  </property>
</Properties>
</file>